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240" yWindow="105" windowWidth="14805" windowHeight="8010" tabRatio="918" firstSheet="4" activeTab="16"/>
  </bookViews>
  <sheets>
    <sheet name="01.04" sheetId="6" r:id="rId1"/>
    <sheet name="Книжное меню 01.04" sheetId="14" r:id="rId2"/>
    <sheet name="04,04" sheetId="7" r:id="rId3"/>
    <sheet name="Книжное меню 04.04" sheetId="16" r:id="rId4"/>
    <sheet name="05,04 Эвакуация" sheetId="8" r:id="rId5"/>
    <sheet name="Книжное меню 05.04 " sheetId="17" r:id="rId6"/>
    <sheet name="06,04" sheetId="13" r:id="rId7"/>
    <sheet name="Книжное меню 06.04" sheetId="18" r:id="rId8"/>
    <sheet name="07,04 " sheetId="10" r:id="rId9"/>
    <sheet name="Книжное меню 07.04" sheetId="19" r:id="rId10"/>
    <sheet name="08.04" sheetId="11" r:id="rId11"/>
    <sheet name="Книжное меню 08.04" sheetId="20" r:id="rId12"/>
    <sheet name="11,04" sheetId="12" r:id="rId13"/>
    <sheet name="Книжное меню 11.04" sheetId="21" r:id="rId14"/>
    <sheet name="12,04" sheetId="5" r:id="rId15"/>
    <sheet name="Книжное меню 12.04" sheetId="22" r:id="rId16"/>
    <sheet name="13,04" sheetId="15" r:id="rId17"/>
    <sheet name="Книжное меню 13.04" sheetId="23" r:id="rId18"/>
  </sheets>
  <externalReferences>
    <externalReference r:id="rId19"/>
  </externalReferences>
  <definedNames>
    <definedName name="А136" localSheetId="3">'[1]15.10.9д'!#REF!</definedName>
    <definedName name="А136" localSheetId="5">'[1]15.10.9д'!#REF!</definedName>
    <definedName name="А136" localSheetId="7">'[1]15.10.9д'!#REF!</definedName>
    <definedName name="А136" localSheetId="9">'[1]15.10.9д'!#REF!</definedName>
    <definedName name="А136" localSheetId="11">'[1]15.10.9д'!#REF!</definedName>
    <definedName name="А136" localSheetId="13">'[1]15.10.9д'!#REF!</definedName>
    <definedName name="А136" localSheetId="15">'[1]15.10.9д'!#REF!</definedName>
    <definedName name="А136" localSheetId="17">'[1]15.10.9д'!#REF!</definedName>
    <definedName name="А136">'[1]15.10.9д'!#REF!</definedName>
    <definedName name="А146" localSheetId="3">'[1]15.10.9д'!#REF!</definedName>
    <definedName name="А146" localSheetId="5">'[1]15.10.9д'!#REF!</definedName>
    <definedName name="А146" localSheetId="7">'[1]15.10.9д'!#REF!</definedName>
    <definedName name="А146" localSheetId="9">'[1]15.10.9д'!#REF!</definedName>
    <definedName name="А146" localSheetId="11">'[1]15.10.9д'!#REF!</definedName>
    <definedName name="А146" localSheetId="13">'[1]15.10.9д'!#REF!</definedName>
    <definedName name="А146" localSheetId="15">'[1]15.10.9д'!#REF!</definedName>
    <definedName name="А146" localSheetId="17">'[1]15.10.9д'!#REF!</definedName>
    <definedName name="А146">'[1]15.10.9д'!#REF!</definedName>
    <definedName name="апв" localSheetId="3">'[1]15.10.9д'!#REF!</definedName>
    <definedName name="апв" localSheetId="5">'[1]15.10.9д'!#REF!</definedName>
    <definedName name="апв" localSheetId="7">'[1]15.10.9д'!#REF!</definedName>
    <definedName name="апв" localSheetId="9">'[1]15.10.9д'!#REF!</definedName>
    <definedName name="апв" localSheetId="11">'[1]15.10.9д'!#REF!</definedName>
    <definedName name="апв" localSheetId="13">'[1]15.10.9д'!#REF!</definedName>
    <definedName name="апв" localSheetId="15">'[1]15.10.9д'!#REF!</definedName>
    <definedName name="апв" localSheetId="17">'[1]15.10.9д'!#REF!</definedName>
    <definedName name="апв">'[1]15.10.9д'!#REF!</definedName>
    <definedName name="апит" localSheetId="3">'[1]15.10.9д'!#REF!</definedName>
    <definedName name="апит" localSheetId="5">'[1]15.10.9д'!#REF!</definedName>
    <definedName name="апит" localSheetId="7">'[1]15.10.9д'!#REF!</definedName>
    <definedName name="апит" localSheetId="9">'[1]15.10.9д'!#REF!</definedName>
    <definedName name="апит" localSheetId="11">'[1]15.10.9д'!#REF!</definedName>
    <definedName name="апит" localSheetId="13">'[1]15.10.9д'!#REF!</definedName>
    <definedName name="апит" localSheetId="15">'[1]15.10.9д'!#REF!</definedName>
    <definedName name="апит" localSheetId="17">'[1]15.10.9д'!#REF!</definedName>
    <definedName name="апит">'[1]15.10.9д'!#REF!</definedName>
    <definedName name="б12" localSheetId="3">'[1]15.10.9д'!#REF!</definedName>
    <definedName name="б12" localSheetId="5">'[1]15.10.9д'!#REF!</definedName>
    <definedName name="б12" localSheetId="7">'[1]15.10.9д'!#REF!</definedName>
    <definedName name="б12" localSheetId="9">'[1]15.10.9д'!#REF!</definedName>
    <definedName name="б12" localSheetId="11">'[1]15.10.9д'!#REF!</definedName>
    <definedName name="б12" localSheetId="13">'[1]15.10.9д'!#REF!</definedName>
    <definedName name="б12" localSheetId="15">'[1]15.10.9д'!#REF!</definedName>
    <definedName name="б12" localSheetId="17">'[1]15.10.9д'!#REF!</definedName>
    <definedName name="б12">'[1]15.10.9д'!#REF!</definedName>
    <definedName name="В136" localSheetId="3">'[1]15.10.9д'!#REF!</definedName>
    <definedName name="В136" localSheetId="5">'[1]15.10.9д'!#REF!</definedName>
    <definedName name="В136" localSheetId="7">'[1]15.10.9д'!#REF!</definedName>
    <definedName name="В136" localSheetId="9">'[1]15.10.9д'!#REF!</definedName>
    <definedName name="В136" localSheetId="11">'[1]15.10.9д'!#REF!</definedName>
    <definedName name="В136" localSheetId="13">'[1]15.10.9д'!#REF!</definedName>
    <definedName name="В136" localSheetId="15">'[1]15.10.9д'!#REF!</definedName>
    <definedName name="В136" localSheetId="17">'[1]15.10.9д'!#REF!</definedName>
    <definedName name="В136">'[1]15.10.9д'!#REF!</definedName>
    <definedName name="в20" localSheetId="3">'[1]15.10.9д'!#REF!</definedName>
    <definedName name="в20" localSheetId="5">'[1]15.10.9д'!#REF!</definedName>
    <definedName name="в20" localSheetId="7">'[1]15.10.9д'!#REF!</definedName>
    <definedName name="в20" localSheetId="9">'[1]15.10.9д'!#REF!</definedName>
    <definedName name="в20" localSheetId="11">'[1]15.10.9д'!#REF!</definedName>
    <definedName name="в20" localSheetId="13">'[1]15.10.9д'!#REF!</definedName>
    <definedName name="в20" localSheetId="15">'[1]15.10.9д'!#REF!</definedName>
    <definedName name="в20" localSheetId="17">'[1]15.10.9д'!#REF!</definedName>
    <definedName name="в20">'[1]15.10.9д'!#REF!</definedName>
    <definedName name="вам" localSheetId="3">'[1]15.10.9д'!#REF!</definedName>
    <definedName name="вам" localSheetId="5">'[1]15.10.9д'!#REF!</definedName>
    <definedName name="вам" localSheetId="7">'[1]15.10.9д'!#REF!</definedName>
    <definedName name="вам" localSheetId="9">'[1]15.10.9д'!#REF!</definedName>
    <definedName name="вам" localSheetId="11">'[1]15.10.9д'!#REF!</definedName>
    <definedName name="вам" localSheetId="13">'[1]15.10.9д'!#REF!</definedName>
    <definedName name="вам" localSheetId="15">'[1]15.10.9д'!#REF!</definedName>
    <definedName name="вам" localSheetId="17">'[1]15.10.9д'!#REF!</definedName>
    <definedName name="вам">'[1]15.10.9д'!#REF!</definedName>
    <definedName name="вт18.11" localSheetId="3">'[1]15.10.9д'!#REF!</definedName>
    <definedName name="вт18.11" localSheetId="5">'[1]15.10.9д'!#REF!</definedName>
    <definedName name="вт18.11" localSheetId="7">'[1]15.10.9д'!#REF!</definedName>
    <definedName name="вт18.11" localSheetId="9">'[1]15.10.9д'!#REF!</definedName>
    <definedName name="вт18.11" localSheetId="11">'[1]15.10.9д'!#REF!</definedName>
    <definedName name="вт18.11" localSheetId="13">'[1]15.10.9д'!#REF!</definedName>
    <definedName name="вт18.11" localSheetId="15">'[1]15.10.9д'!#REF!</definedName>
    <definedName name="вт18.11" localSheetId="17">'[1]15.10.9д'!#REF!</definedName>
    <definedName name="вт18.11">'[1]15.10.9д'!#REF!</definedName>
    <definedName name="вт20.11" localSheetId="3">'[1]15.10.9д'!#REF!</definedName>
    <definedName name="вт20.11" localSheetId="5">'[1]15.10.9д'!#REF!</definedName>
    <definedName name="вт20.11" localSheetId="7">'[1]15.10.9д'!#REF!</definedName>
    <definedName name="вт20.11" localSheetId="9">'[1]15.10.9д'!#REF!</definedName>
    <definedName name="вт20.11" localSheetId="11">'[1]15.10.9д'!#REF!</definedName>
    <definedName name="вт20.11" localSheetId="13">'[1]15.10.9д'!#REF!</definedName>
    <definedName name="вт20.11" localSheetId="15">'[1]15.10.9д'!#REF!</definedName>
    <definedName name="вт20.11" localSheetId="17">'[1]15.10.9д'!#REF!</definedName>
    <definedName name="вт20.11">'[1]15.10.9д'!#REF!</definedName>
    <definedName name="д" localSheetId="3">'[1]15.10.9д'!#REF!</definedName>
    <definedName name="д" localSheetId="5">'[1]15.10.9д'!#REF!</definedName>
    <definedName name="д" localSheetId="7">'[1]15.10.9д'!#REF!</definedName>
    <definedName name="д" localSheetId="9">'[1]15.10.9д'!#REF!</definedName>
    <definedName name="д" localSheetId="11">'[1]15.10.9д'!#REF!</definedName>
    <definedName name="д" localSheetId="13">'[1]15.10.9д'!#REF!</definedName>
    <definedName name="д" localSheetId="15">'[1]15.10.9д'!#REF!</definedName>
    <definedName name="д" localSheetId="17">'[1]15.10.9д'!#REF!</definedName>
    <definedName name="д">'[1]15.10.9д'!#REF!</definedName>
    <definedName name="д.20" localSheetId="3">'[1]15.10.9д'!#REF!</definedName>
    <definedName name="д.20" localSheetId="5">'[1]15.10.9д'!#REF!</definedName>
    <definedName name="д.20" localSheetId="7">'[1]15.10.9д'!#REF!</definedName>
    <definedName name="д.20" localSheetId="9">'[1]15.10.9д'!#REF!</definedName>
    <definedName name="д.20" localSheetId="11">'[1]15.10.9д'!#REF!</definedName>
    <definedName name="д.20" localSheetId="13">'[1]15.10.9д'!#REF!</definedName>
    <definedName name="д.20" localSheetId="15">'[1]15.10.9д'!#REF!</definedName>
    <definedName name="д.20" localSheetId="17">'[1]15.10.9д'!#REF!</definedName>
    <definedName name="д.20">'[1]15.10.9д'!#REF!</definedName>
    <definedName name="д16" localSheetId="3">'[1]15.10.9д'!#REF!</definedName>
    <definedName name="д16" localSheetId="5">'[1]15.10.9д'!#REF!</definedName>
    <definedName name="д16" localSheetId="7">'[1]15.10.9д'!#REF!</definedName>
    <definedName name="д16" localSheetId="9">'[1]15.10.9д'!#REF!</definedName>
    <definedName name="д16" localSheetId="11">'[1]15.10.9д'!#REF!</definedName>
    <definedName name="д16" localSheetId="13">'[1]15.10.9д'!#REF!</definedName>
    <definedName name="д16" localSheetId="15">'[1]15.10.9д'!#REF!</definedName>
    <definedName name="д16" localSheetId="17">'[1]15.10.9д'!#REF!</definedName>
    <definedName name="д16">'[1]15.10.9д'!#REF!</definedName>
    <definedName name="д19" localSheetId="3">'[1]15.10.9д'!#REF!</definedName>
    <definedName name="д19" localSheetId="5">'[1]15.10.9д'!#REF!</definedName>
    <definedName name="д19" localSheetId="7">'[1]15.10.9д'!#REF!</definedName>
    <definedName name="д19" localSheetId="9">'[1]15.10.9д'!#REF!</definedName>
    <definedName name="д19" localSheetId="11">'[1]15.10.9д'!#REF!</definedName>
    <definedName name="д19" localSheetId="13">'[1]15.10.9д'!#REF!</definedName>
    <definedName name="д19" localSheetId="15">'[1]15.10.9д'!#REF!</definedName>
    <definedName name="д19" localSheetId="17">'[1]15.10.9д'!#REF!</definedName>
    <definedName name="д19">'[1]15.10.9д'!#REF!</definedName>
    <definedName name="д19.02д" localSheetId="3">'[1]15.10.9д'!#REF!</definedName>
    <definedName name="д19.02д" localSheetId="5">'[1]15.10.9д'!#REF!</definedName>
    <definedName name="д19.02д" localSheetId="7">'[1]15.10.9д'!#REF!</definedName>
    <definedName name="д19.02д" localSheetId="9">'[1]15.10.9д'!#REF!</definedName>
    <definedName name="д19.02д" localSheetId="11">'[1]15.10.9д'!#REF!</definedName>
    <definedName name="д19.02д" localSheetId="13">'[1]15.10.9д'!#REF!</definedName>
    <definedName name="д19.02д" localSheetId="15">'[1]15.10.9д'!#REF!</definedName>
    <definedName name="д19.02д" localSheetId="17">'[1]15.10.9д'!#REF!</definedName>
    <definedName name="д19.02д">'[1]15.10.9д'!#REF!</definedName>
    <definedName name="д20" localSheetId="3">'[1]15.10.9д'!#REF!</definedName>
    <definedName name="д20" localSheetId="5">'[1]15.10.9д'!#REF!</definedName>
    <definedName name="д20" localSheetId="7">'[1]15.10.9д'!#REF!</definedName>
    <definedName name="д20" localSheetId="9">'[1]15.10.9д'!#REF!</definedName>
    <definedName name="д20" localSheetId="11">'[1]15.10.9д'!#REF!</definedName>
    <definedName name="д20" localSheetId="13">'[1]15.10.9д'!#REF!</definedName>
    <definedName name="д20" localSheetId="15">'[1]15.10.9д'!#REF!</definedName>
    <definedName name="д20" localSheetId="17">'[1]15.10.9д'!#REF!</definedName>
    <definedName name="д20">'[1]15.10.9д'!#REF!</definedName>
    <definedName name="д5" localSheetId="3">'[1]15.10.9д'!#REF!</definedName>
    <definedName name="д5" localSheetId="5">'[1]15.10.9д'!#REF!</definedName>
    <definedName name="д5" localSheetId="7">'[1]15.10.9д'!#REF!</definedName>
    <definedName name="д5" localSheetId="9">'[1]15.10.9д'!#REF!</definedName>
    <definedName name="д5" localSheetId="11">'[1]15.10.9д'!#REF!</definedName>
    <definedName name="д5" localSheetId="13">'[1]15.10.9д'!#REF!</definedName>
    <definedName name="д5" localSheetId="15">'[1]15.10.9д'!#REF!</definedName>
    <definedName name="д5" localSheetId="17">'[1]15.10.9д'!#REF!</definedName>
    <definedName name="д5">'[1]15.10.9д'!#REF!</definedName>
    <definedName name="д9" localSheetId="3">'[1]15.10.9д'!#REF!</definedName>
    <definedName name="д9" localSheetId="5">'[1]15.10.9д'!#REF!</definedName>
    <definedName name="д9" localSheetId="7">'[1]15.10.9д'!#REF!</definedName>
    <definedName name="д9" localSheetId="9">'[1]15.10.9д'!#REF!</definedName>
    <definedName name="д9" localSheetId="11">'[1]15.10.9д'!#REF!</definedName>
    <definedName name="д9" localSheetId="13">'[1]15.10.9д'!#REF!</definedName>
    <definedName name="д9" localSheetId="15">'[1]15.10.9д'!#REF!</definedName>
    <definedName name="д9" localSheetId="17">'[1]15.10.9д'!#REF!</definedName>
    <definedName name="д9">'[1]15.10.9д'!#REF!</definedName>
    <definedName name="ж" localSheetId="3">'[1]15.10.9д'!#REF!</definedName>
    <definedName name="ж" localSheetId="5">'[1]15.10.9д'!#REF!</definedName>
    <definedName name="ж" localSheetId="7">'[1]15.10.9д'!#REF!</definedName>
    <definedName name="ж" localSheetId="9">'[1]15.10.9д'!#REF!</definedName>
    <definedName name="ж" localSheetId="11">'[1]15.10.9д'!#REF!</definedName>
    <definedName name="ж" localSheetId="13">'[1]15.10.9д'!#REF!</definedName>
    <definedName name="ж" localSheetId="15">'[1]15.10.9д'!#REF!</definedName>
    <definedName name="ж" localSheetId="17">'[1]15.10.9д'!#REF!</definedName>
    <definedName name="ж">'[1]15.10.9д'!#REF!</definedName>
    <definedName name="ж1" localSheetId="3">'[1]15.10.9д'!#REF!</definedName>
    <definedName name="ж1" localSheetId="5">'[1]15.10.9д'!#REF!</definedName>
    <definedName name="ж1" localSheetId="7">'[1]15.10.9д'!#REF!</definedName>
    <definedName name="ж1" localSheetId="9">'[1]15.10.9д'!#REF!</definedName>
    <definedName name="ж1" localSheetId="11">'[1]15.10.9д'!#REF!</definedName>
    <definedName name="ж1" localSheetId="13">'[1]15.10.9д'!#REF!</definedName>
    <definedName name="ж1" localSheetId="15">'[1]15.10.9д'!#REF!</definedName>
    <definedName name="ж1" localSheetId="17">'[1]15.10.9д'!#REF!</definedName>
    <definedName name="ж1">'[1]15.10.9д'!#REF!</definedName>
    <definedName name="ка12" localSheetId="3">'[1]15.10.9д'!#REF!</definedName>
    <definedName name="ка12" localSheetId="5">'[1]15.10.9д'!#REF!</definedName>
    <definedName name="ка12" localSheetId="7">'[1]15.10.9д'!#REF!</definedName>
    <definedName name="ка12" localSheetId="9">'[1]15.10.9д'!#REF!</definedName>
    <definedName name="ка12" localSheetId="11">'[1]15.10.9д'!#REF!</definedName>
    <definedName name="ка12" localSheetId="13">'[1]15.10.9д'!#REF!</definedName>
    <definedName name="ка12" localSheetId="15">'[1]15.10.9д'!#REF!</definedName>
    <definedName name="ка12" localSheetId="17">'[1]15.10.9д'!#REF!</definedName>
    <definedName name="ка12">'[1]15.10.9д'!#REF!</definedName>
    <definedName name="каша" localSheetId="3">'[1]15.10.9д'!#REF!</definedName>
    <definedName name="каша" localSheetId="5">'[1]15.10.9д'!#REF!</definedName>
    <definedName name="каша" localSheetId="7">'[1]15.10.9д'!#REF!</definedName>
    <definedName name="каша" localSheetId="9">'[1]15.10.9д'!#REF!</definedName>
    <definedName name="каша" localSheetId="11">'[1]15.10.9д'!#REF!</definedName>
    <definedName name="каша" localSheetId="13">'[1]15.10.9д'!#REF!</definedName>
    <definedName name="каша" localSheetId="15">'[1]15.10.9д'!#REF!</definedName>
    <definedName name="каша" localSheetId="17">'[1]15.10.9д'!#REF!</definedName>
    <definedName name="каша">'[1]15.10.9д'!#REF!</definedName>
    <definedName name="каша5" localSheetId="3">'[1]15.10.9д'!#REF!</definedName>
    <definedName name="каша5" localSheetId="5">'[1]15.10.9д'!#REF!</definedName>
    <definedName name="каша5" localSheetId="7">'[1]15.10.9д'!#REF!</definedName>
    <definedName name="каша5" localSheetId="9">'[1]15.10.9д'!#REF!</definedName>
    <definedName name="каша5" localSheetId="11">'[1]15.10.9д'!#REF!</definedName>
    <definedName name="каша5" localSheetId="13">'[1]15.10.9д'!#REF!</definedName>
    <definedName name="каша5" localSheetId="15">'[1]15.10.9д'!#REF!</definedName>
    <definedName name="каша5" localSheetId="17">'[1]15.10.9д'!#REF!</definedName>
    <definedName name="каша5">'[1]15.10.9д'!#REF!</definedName>
    <definedName name="кен" localSheetId="3">'[1]15.10.9д'!#REF!</definedName>
    <definedName name="кен" localSheetId="5">'[1]15.10.9д'!#REF!</definedName>
    <definedName name="кен" localSheetId="7">'[1]15.10.9д'!#REF!</definedName>
    <definedName name="кен" localSheetId="9">'[1]15.10.9д'!#REF!</definedName>
    <definedName name="кен" localSheetId="11">'[1]15.10.9д'!#REF!</definedName>
    <definedName name="кен" localSheetId="13">'[1]15.10.9д'!#REF!</definedName>
    <definedName name="кен" localSheetId="15">'[1]15.10.9д'!#REF!</definedName>
    <definedName name="кен" localSheetId="17">'[1]15.10.9д'!#REF!</definedName>
    <definedName name="кен">'[1]15.10.9д'!#REF!</definedName>
    <definedName name="л12" localSheetId="3">'[1]15.10.9д'!#REF!</definedName>
    <definedName name="л12" localSheetId="5">'[1]15.10.9д'!#REF!</definedName>
    <definedName name="л12" localSheetId="7">'[1]15.10.9д'!#REF!</definedName>
    <definedName name="л12" localSheetId="9">'[1]15.10.9д'!#REF!</definedName>
    <definedName name="л12" localSheetId="11">'[1]15.10.9д'!#REF!</definedName>
    <definedName name="л12" localSheetId="13">'[1]15.10.9д'!#REF!</definedName>
    <definedName name="л12" localSheetId="15">'[1]15.10.9д'!#REF!</definedName>
    <definedName name="л12" localSheetId="17">'[1]15.10.9д'!#REF!</definedName>
    <definedName name="л12">'[1]15.10.9д'!#REF!</definedName>
    <definedName name="л2" localSheetId="3">'[1]15.10.9д'!#REF!</definedName>
    <definedName name="л2" localSheetId="5">'[1]15.10.9д'!#REF!</definedName>
    <definedName name="л2" localSheetId="7">'[1]15.10.9д'!#REF!</definedName>
    <definedName name="л2" localSheetId="9">'[1]15.10.9д'!#REF!</definedName>
    <definedName name="л2" localSheetId="11">'[1]15.10.9д'!#REF!</definedName>
    <definedName name="л2" localSheetId="13">'[1]15.10.9д'!#REF!</definedName>
    <definedName name="л2" localSheetId="15">'[1]15.10.9д'!#REF!</definedName>
    <definedName name="л2" localSheetId="17">'[1]15.10.9д'!#REF!</definedName>
    <definedName name="л2">'[1]15.10.9д'!#REF!</definedName>
    <definedName name="л3" localSheetId="3">'[1]15.10.9д'!#REF!</definedName>
    <definedName name="л3" localSheetId="5">'[1]15.10.9д'!#REF!</definedName>
    <definedName name="л3" localSheetId="7">'[1]15.10.9д'!#REF!</definedName>
    <definedName name="л3" localSheetId="9">'[1]15.10.9д'!#REF!</definedName>
    <definedName name="л3" localSheetId="11">'[1]15.10.9д'!#REF!</definedName>
    <definedName name="л3" localSheetId="13">'[1]15.10.9д'!#REF!</definedName>
    <definedName name="л3" localSheetId="15">'[1]15.10.9д'!#REF!</definedName>
    <definedName name="л3" localSheetId="17">'[1]15.10.9д'!#REF!</definedName>
    <definedName name="л3">'[1]15.10.9д'!#REF!</definedName>
    <definedName name="л4" localSheetId="3">'[1]15.10.9д'!#REF!</definedName>
    <definedName name="л4" localSheetId="5">'[1]15.10.9д'!#REF!</definedName>
    <definedName name="л4" localSheetId="7">'[1]15.10.9д'!#REF!</definedName>
    <definedName name="л4" localSheetId="9">'[1]15.10.9д'!#REF!</definedName>
    <definedName name="л4" localSheetId="11">'[1]15.10.9д'!#REF!</definedName>
    <definedName name="л4" localSheetId="13">'[1]15.10.9д'!#REF!</definedName>
    <definedName name="л4" localSheetId="15">'[1]15.10.9д'!#REF!</definedName>
    <definedName name="л4" localSheetId="17">'[1]15.10.9д'!#REF!</definedName>
    <definedName name="л4">'[1]15.10.9д'!#REF!</definedName>
    <definedName name="мит" localSheetId="3">'[1]15.10.9д'!#REF!</definedName>
    <definedName name="мит" localSheetId="5">'[1]15.10.9д'!#REF!</definedName>
    <definedName name="мит" localSheetId="7">'[1]15.10.9д'!#REF!</definedName>
    <definedName name="мит" localSheetId="9">'[1]15.10.9д'!#REF!</definedName>
    <definedName name="мит" localSheetId="11">'[1]15.10.9д'!#REF!</definedName>
    <definedName name="мит" localSheetId="13">'[1]15.10.9д'!#REF!</definedName>
    <definedName name="мит" localSheetId="15">'[1]15.10.9д'!#REF!</definedName>
    <definedName name="мит" localSheetId="17">'[1]15.10.9д'!#REF!</definedName>
    <definedName name="мит">'[1]15.10.9д'!#REF!</definedName>
    <definedName name="на5" localSheetId="3">'[1]15.10.9д'!#REF!</definedName>
    <definedName name="на5" localSheetId="5">'[1]15.10.9д'!#REF!</definedName>
    <definedName name="на5" localSheetId="7">'[1]15.10.9д'!#REF!</definedName>
    <definedName name="на5" localSheetId="9">'[1]15.10.9д'!#REF!</definedName>
    <definedName name="на5" localSheetId="11">'[1]15.10.9д'!#REF!</definedName>
    <definedName name="на5" localSheetId="13">'[1]15.10.9д'!#REF!</definedName>
    <definedName name="на5" localSheetId="15">'[1]15.10.9д'!#REF!</definedName>
    <definedName name="на5" localSheetId="17">'[1]15.10.9д'!#REF!</definedName>
    <definedName name="на5">'[1]15.10.9д'!#REF!</definedName>
    <definedName name="но" localSheetId="3">'[1]15.10.9д'!#REF!</definedName>
    <definedName name="но" localSheetId="5">'[1]15.10.9д'!#REF!</definedName>
    <definedName name="но" localSheetId="7">'[1]15.10.9д'!#REF!</definedName>
    <definedName name="но" localSheetId="9">'[1]15.10.9д'!#REF!</definedName>
    <definedName name="но" localSheetId="11">'[1]15.10.9д'!#REF!</definedName>
    <definedName name="но" localSheetId="13">'[1]15.10.9д'!#REF!</definedName>
    <definedName name="но" localSheetId="15">'[1]15.10.9д'!#REF!</definedName>
    <definedName name="но" localSheetId="17">'[1]15.10.9д'!#REF!</definedName>
    <definedName name="но">'[1]15.10.9д'!#REF!</definedName>
    <definedName name="нр" localSheetId="3">'[1]15.10.9д'!#REF!</definedName>
    <definedName name="нр" localSheetId="5">'[1]15.10.9д'!#REF!</definedName>
    <definedName name="нр" localSheetId="7">'[1]15.10.9д'!#REF!</definedName>
    <definedName name="нр" localSheetId="9">'[1]15.10.9д'!#REF!</definedName>
    <definedName name="нр" localSheetId="11">'[1]15.10.9д'!#REF!</definedName>
    <definedName name="нр" localSheetId="13">'[1]15.10.9д'!#REF!</definedName>
    <definedName name="нр" localSheetId="15">'[1]15.10.9д'!#REF!</definedName>
    <definedName name="нр" localSheetId="17">'[1]15.10.9д'!#REF!</definedName>
    <definedName name="нр">'[1]15.10.9д'!#REF!</definedName>
    <definedName name="_xlnm.Print_Area" localSheetId="0">'01.04'!$A$1:$R$37</definedName>
    <definedName name="_xlnm.Print_Area" localSheetId="2">'04,04'!$A$1:$R$37</definedName>
    <definedName name="_xlnm.Print_Area" localSheetId="4">'05,04 Эвакуация'!$A$1:$R$38</definedName>
    <definedName name="_xlnm.Print_Area" localSheetId="6">'06,04'!$A$1:$R$37</definedName>
    <definedName name="_xlnm.Print_Area" localSheetId="8">'07,04 '!$A$1:$R$38</definedName>
    <definedName name="_xlnm.Print_Area" localSheetId="10">'08.04'!$A$1:$R$38</definedName>
    <definedName name="_xlnm.Print_Area" localSheetId="12">'11,04'!$A$1:$R$38</definedName>
    <definedName name="_xlnm.Print_Area" localSheetId="14">'12,04'!$A$1:$R$38</definedName>
    <definedName name="_xlnm.Print_Area" localSheetId="16">'13,04'!$A$1:$T$37</definedName>
    <definedName name="_xlnm.Print_Area" localSheetId="1">'Книжное меню 01.04'!$A$1:$L$45</definedName>
    <definedName name="_xlnm.Print_Area" localSheetId="3">'Книжное меню 04.04'!$A$1:$L$45</definedName>
    <definedName name="_xlnm.Print_Area" localSheetId="5">'Книжное меню 05.04 '!$A$1:$L$45</definedName>
    <definedName name="_xlnm.Print_Area" localSheetId="7">'Книжное меню 06.04'!$A$1:$L$45</definedName>
    <definedName name="_xlnm.Print_Area" localSheetId="9">'Книжное меню 07.04'!$A$1:$L$45</definedName>
    <definedName name="_xlnm.Print_Area" localSheetId="11">'Книжное меню 08.04'!$A$1:$L$45</definedName>
    <definedName name="_xlnm.Print_Area" localSheetId="13">'Книжное меню 11.04'!$A$1:$L$45</definedName>
    <definedName name="_xlnm.Print_Area" localSheetId="15">'Книжное меню 12.04'!$A$1:$L$45</definedName>
    <definedName name="_xlnm.Print_Area" localSheetId="17">'Книжное меню 13.04'!$A$1:$L$45</definedName>
    <definedName name="олд12" localSheetId="3">'[1]15.10.9д'!#REF!</definedName>
    <definedName name="олд12" localSheetId="5">'[1]15.10.9д'!#REF!</definedName>
    <definedName name="олд12" localSheetId="7">'[1]15.10.9д'!#REF!</definedName>
    <definedName name="олд12" localSheetId="9">'[1]15.10.9д'!#REF!</definedName>
    <definedName name="олд12" localSheetId="11">'[1]15.10.9д'!#REF!</definedName>
    <definedName name="олд12" localSheetId="13">'[1]15.10.9д'!#REF!</definedName>
    <definedName name="олд12" localSheetId="15">'[1]15.10.9д'!#REF!</definedName>
    <definedName name="олд12" localSheetId="17">'[1]15.10.9д'!#REF!</definedName>
    <definedName name="олд12">'[1]15.10.9д'!#REF!</definedName>
    <definedName name="п" localSheetId="3">'[1]15.10.9д'!#REF!</definedName>
    <definedName name="п" localSheetId="5">'[1]15.10.9д'!#REF!</definedName>
    <definedName name="п" localSheetId="7">'[1]15.10.9д'!#REF!</definedName>
    <definedName name="п" localSheetId="9">'[1]15.10.9д'!#REF!</definedName>
    <definedName name="п" localSheetId="11">'[1]15.10.9д'!#REF!</definedName>
    <definedName name="п" localSheetId="13">'[1]15.10.9д'!#REF!</definedName>
    <definedName name="п" localSheetId="15">'[1]15.10.9д'!#REF!</definedName>
    <definedName name="п" localSheetId="17">'[1]15.10.9д'!#REF!</definedName>
    <definedName name="п">'[1]15.10.9д'!#REF!</definedName>
    <definedName name="п123" localSheetId="3">'[1]15.10.9д'!#REF!</definedName>
    <definedName name="п123" localSheetId="5">'[1]15.10.9д'!#REF!</definedName>
    <definedName name="п123" localSheetId="7">'[1]15.10.9д'!#REF!</definedName>
    <definedName name="п123" localSheetId="9">'[1]15.10.9д'!#REF!</definedName>
    <definedName name="п123" localSheetId="11">'[1]15.10.9д'!#REF!</definedName>
    <definedName name="п123" localSheetId="13">'[1]15.10.9д'!#REF!</definedName>
    <definedName name="п123" localSheetId="15">'[1]15.10.9д'!#REF!</definedName>
    <definedName name="п123" localSheetId="17">'[1]15.10.9д'!#REF!</definedName>
    <definedName name="п123">'[1]15.10.9д'!#REF!</definedName>
    <definedName name="пав" localSheetId="3">'[1]15.10.9д'!#REF!</definedName>
    <definedName name="пав" localSheetId="5">'[1]15.10.9д'!#REF!</definedName>
    <definedName name="пав" localSheetId="7">'[1]15.10.9д'!#REF!</definedName>
    <definedName name="пав" localSheetId="9">'[1]15.10.9д'!#REF!</definedName>
    <definedName name="пав" localSheetId="11">'[1]15.10.9д'!#REF!</definedName>
    <definedName name="пав" localSheetId="13">'[1]15.10.9д'!#REF!</definedName>
    <definedName name="пав" localSheetId="15">'[1]15.10.9д'!#REF!</definedName>
    <definedName name="пав" localSheetId="17">'[1]15.10.9д'!#REF!</definedName>
    <definedName name="пав">'[1]15.10.9д'!#REF!</definedName>
    <definedName name="пл" localSheetId="3">'[1]15.10.9д'!#REF!</definedName>
    <definedName name="пл" localSheetId="5">'[1]15.10.9д'!#REF!</definedName>
    <definedName name="пл" localSheetId="7">'[1]15.10.9д'!#REF!</definedName>
    <definedName name="пл" localSheetId="9">'[1]15.10.9д'!#REF!</definedName>
    <definedName name="пл" localSheetId="11">'[1]15.10.9д'!#REF!</definedName>
    <definedName name="пл" localSheetId="13">'[1]15.10.9д'!#REF!</definedName>
    <definedName name="пл" localSheetId="15">'[1]15.10.9д'!#REF!</definedName>
    <definedName name="пл" localSheetId="17">'[1]15.10.9д'!#REF!</definedName>
    <definedName name="пл">'[1]15.10.9д'!#REF!</definedName>
    <definedName name="пн19.11.д.13" localSheetId="3">'[1]15.10.9д'!#REF!</definedName>
    <definedName name="пн19.11.д.13" localSheetId="5">'[1]15.10.9д'!#REF!</definedName>
    <definedName name="пн19.11.д.13" localSheetId="7">'[1]15.10.9д'!#REF!</definedName>
    <definedName name="пн19.11.д.13" localSheetId="9">'[1]15.10.9д'!#REF!</definedName>
    <definedName name="пн19.11.д.13" localSheetId="11">'[1]15.10.9д'!#REF!</definedName>
    <definedName name="пн19.11.д.13" localSheetId="13">'[1]15.10.9д'!#REF!</definedName>
    <definedName name="пн19.11.д.13" localSheetId="15">'[1]15.10.9д'!#REF!</definedName>
    <definedName name="пн19.11.д.13" localSheetId="17">'[1]15.10.9д'!#REF!</definedName>
    <definedName name="пн19.11.д.13">'[1]15.10.9д'!#REF!</definedName>
    <definedName name="пн20.11." localSheetId="3">'[1]15.10.9д'!#REF!</definedName>
    <definedName name="пн20.11." localSheetId="5">'[1]15.10.9д'!#REF!</definedName>
    <definedName name="пн20.11." localSheetId="7">'[1]15.10.9д'!#REF!</definedName>
    <definedName name="пн20.11." localSheetId="9">'[1]15.10.9д'!#REF!</definedName>
    <definedName name="пн20.11." localSheetId="11">'[1]15.10.9д'!#REF!</definedName>
    <definedName name="пн20.11." localSheetId="13">'[1]15.10.9д'!#REF!</definedName>
    <definedName name="пн20.11." localSheetId="15">'[1]15.10.9д'!#REF!</definedName>
    <definedName name="пн20.11." localSheetId="17">'[1]15.10.9д'!#REF!</definedName>
    <definedName name="пн20.11.">'[1]15.10.9д'!#REF!</definedName>
    <definedName name="пр" localSheetId="3">'[1]15.10.9д'!#REF!</definedName>
    <definedName name="пр" localSheetId="5">'[1]15.10.9д'!#REF!</definedName>
    <definedName name="пр" localSheetId="7">'[1]15.10.9д'!#REF!</definedName>
    <definedName name="пр" localSheetId="9">'[1]15.10.9д'!#REF!</definedName>
    <definedName name="пр" localSheetId="11">'[1]15.10.9д'!#REF!</definedName>
    <definedName name="пр" localSheetId="13">'[1]15.10.9д'!#REF!</definedName>
    <definedName name="пр" localSheetId="15">'[1]15.10.9д'!#REF!</definedName>
    <definedName name="пр" localSheetId="17">'[1]15.10.9д'!#REF!</definedName>
    <definedName name="пр">'[1]15.10.9д'!#REF!</definedName>
    <definedName name="прол" localSheetId="3">'[1]15.10.9д'!#REF!</definedName>
    <definedName name="прол" localSheetId="5">'[1]15.10.9д'!#REF!</definedName>
    <definedName name="прол" localSheetId="7">'[1]15.10.9д'!#REF!</definedName>
    <definedName name="прол" localSheetId="9">'[1]15.10.9д'!#REF!</definedName>
    <definedName name="прол" localSheetId="11">'[1]15.10.9д'!#REF!</definedName>
    <definedName name="прол" localSheetId="13">'[1]15.10.9д'!#REF!</definedName>
    <definedName name="прол" localSheetId="15">'[1]15.10.9д'!#REF!</definedName>
    <definedName name="прол" localSheetId="17">'[1]15.10.9д'!#REF!</definedName>
    <definedName name="прол">'[1]15.10.9д'!#REF!</definedName>
    <definedName name="р12" localSheetId="3">'[1]15.10.9д'!#REF!</definedName>
    <definedName name="р12" localSheetId="5">'[1]15.10.9д'!#REF!</definedName>
    <definedName name="р12" localSheetId="7">'[1]15.10.9д'!#REF!</definedName>
    <definedName name="р12" localSheetId="9">'[1]15.10.9д'!#REF!</definedName>
    <definedName name="р12" localSheetId="11">'[1]15.10.9д'!#REF!</definedName>
    <definedName name="р12" localSheetId="13">'[1]15.10.9д'!#REF!</definedName>
    <definedName name="р12" localSheetId="15">'[1]15.10.9д'!#REF!</definedName>
    <definedName name="р12" localSheetId="17">'[1]15.10.9д'!#REF!</definedName>
    <definedName name="р12">'[1]15.10.9д'!#REF!</definedName>
    <definedName name="ро" localSheetId="3">'[1]15.10.9д'!#REF!</definedName>
    <definedName name="ро" localSheetId="5">'[1]15.10.9д'!#REF!</definedName>
    <definedName name="ро" localSheetId="7">'[1]15.10.9д'!#REF!</definedName>
    <definedName name="ро" localSheetId="9">'[1]15.10.9д'!#REF!</definedName>
    <definedName name="ро" localSheetId="11">'[1]15.10.9д'!#REF!</definedName>
    <definedName name="ро" localSheetId="13">'[1]15.10.9д'!#REF!</definedName>
    <definedName name="ро" localSheetId="15">'[1]15.10.9д'!#REF!</definedName>
    <definedName name="ро" localSheetId="17">'[1]15.10.9д'!#REF!</definedName>
    <definedName name="ро">'[1]15.10.9д'!#REF!</definedName>
    <definedName name="ррр45" localSheetId="3">'[1]15.10.9д'!#REF!</definedName>
    <definedName name="ррр45" localSheetId="5">'[1]15.10.9д'!#REF!</definedName>
    <definedName name="ррр45" localSheetId="7">'[1]15.10.9д'!#REF!</definedName>
    <definedName name="ррр45" localSheetId="9">'[1]15.10.9д'!#REF!</definedName>
    <definedName name="ррр45" localSheetId="11">'[1]15.10.9д'!#REF!</definedName>
    <definedName name="ррр45" localSheetId="13">'[1]15.10.9д'!#REF!</definedName>
    <definedName name="ррр45" localSheetId="15">'[1]15.10.9д'!#REF!</definedName>
    <definedName name="ррр45" localSheetId="17">'[1]15.10.9д'!#REF!</definedName>
    <definedName name="ррр45">'[1]15.10.9д'!#REF!</definedName>
    <definedName name="рррр" localSheetId="3">'[1]15.10.9д'!#REF!</definedName>
    <definedName name="рррр" localSheetId="5">'[1]15.10.9д'!#REF!</definedName>
    <definedName name="рррр" localSheetId="7">'[1]15.10.9д'!#REF!</definedName>
    <definedName name="рррр" localSheetId="9">'[1]15.10.9д'!#REF!</definedName>
    <definedName name="рррр" localSheetId="11">'[1]15.10.9д'!#REF!</definedName>
    <definedName name="рррр" localSheetId="13">'[1]15.10.9д'!#REF!</definedName>
    <definedName name="рррр" localSheetId="15">'[1]15.10.9д'!#REF!</definedName>
    <definedName name="рррр" localSheetId="17">'[1]15.10.9д'!#REF!</definedName>
    <definedName name="рррр">'[1]15.10.9д'!#REF!</definedName>
    <definedName name="ррррррр" localSheetId="3">'[1]15.10.9д'!#REF!</definedName>
    <definedName name="ррррррр" localSheetId="5">'[1]15.10.9д'!#REF!</definedName>
    <definedName name="ррррррр" localSheetId="7">'[1]15.10.9д'!#REF!</definedName>
    <definedName name="ррррррр" localSheetId="9">'[1]15.10.9д'!#REF!</definedName>
    <definedName name="ррррррр" localSheetId="11">'[1]15.10.9д'!#REF!</definedName>
    <definedName name="ррррррр" localSheetId="13">'[1]15.10.9д'!#REF!</definedName>
    <definedName name="ррррррр" localSheetId="15">'[1]15.10.9д'!#REF!</definedName>
    <definedName name="ррррррр" localSheetId="17">'[1]15.10.9д'!#REF!</definedName>
    <definedName name="ррррррр">'[1]15.10.9д'!#REF!</definedName>
    <definedName name="рх" localSheetId="3">'[1]15.10.9д'!#REF!</definedName>
    <definedName name="рх" localSheetId="5">'[1]15.10.9д'!#REF!</definedName>
    <definedName name="рх" localSheetId="7">'[1]15.10.9д'!#REF!</definedName>
    <definedName name="рх" localSheetId="9">'[1]15.10.9д'!#REF!</definedName>
    <definedName name="рх" localSheetId="11">'[1]15.10.9д'!#REF!</definedName>
    <definedName name="рх" localSheetId="13">'[1]15.10.9д'!#REF!</definedName>
    <definedName name="рх" localSheetId="15">'[1]15.10.9д'!#REF!</definedName>
    <definedName name="рх" localSheetId="17">'[1]15.10.9д'!#REF!</definedName>
    <definedName name="рх">'[1]15.10.9д'!#REF!</definedName>
    <definedName name="С136" localSheetId="3">'[1]15.10.9д'!#REF!</definedName>
    <definedName name="С136" localSheetId="5">'[1]15.10.9д'!#REF!</definedName>
    <definedName name="С136" localSheetId="7">'[1]15.10.9д'!#REF!</definedName>
    <definedName name="С136" localSheetId="9">'[1]15.10.9д'!#REF!</definedName>
    <definedName name="С136" localSheetId="11">'[1]15.10.9д'!#REF!</definedName>
    <definedName name="С136" localSheetId="13">'[1]15.10.9д'!#REF!</definedName>
    <definedName name="С136" localSheetId="15">'[1]15.10.9д'!#REF!</definedName>
    <definedName name="С136" localSheetId="17">'[1]15.10.9д'!#REF!</definedName>
    <definedName name="С136">'[1]15.10.9д'!#REF!</definedName>
    <definedName name="смит" localSheetId="3">'[1]15.10.9д'!#REF!</definedName>
    <definedName name="смит" localSheetId="5">'[1]15.10.9д'!#REF!</definedName>
    <definedName name="смит" localSheetId="7">'[1]15.10.9д'!#REF!</definedName>
    <definedName name="смит" localSheetId="9">'[1]15.10.9д'!#REF!</definedName>
    <definedName name="смит" localSheetId="11">'[1]15.10.9д'!#REF!</definedName>
    <definedName name="смит" localSheetId="13">'[1]15.10.9д'!#REF!</definedName>
    <definedName name="смит" localSheetId="15">'[1]15.10.9д'!#REF!</definedName>
    <definedName name="смит" localSheetId="17">'[1]15.10.9д'!#REF!</definedName>
    <definedName name="смит">'[1]15.10.9д'!#REF!</definedName>
    <definedName name="т2" localSheetId="3">'[1]15.10.9д'!#REF!</definedName>
    <definedName name="т2" localSheetId="5">'[1]15.10.9д'!#REF!</definedName>
    <definedName name="т2" localSheetId="7">'[1]15.10.9д'!#REF!</definedName>
    <definedName name="т2" localSheetId="9">'[1]15.10.9д'!#REF!</definedName>
    <definedName name="т2" localSheetId="11">'[1]15.10.9д'!#REF!</definedName>
    <definedName name="т2" localSheetId="13">'[1]15.10.9д'!#REF!</definedName>
    <definedName name="т2" localSheetId="15">'[1]15.10.9д'!#REF!</definedName>
    <definedName name="т2" localSheetId="17">'[1]15.10.9д'!#REF!</definedName>
    <definedName name="т2">'[1]15.10.9д'!#REF!</definedName>
    <definedName name="чсм" localSheetId="3">'[1]15.10.9д'!#REF!</definedName>
    <definedName name="чсм" localSheetId="5">'[1]15.10.9д'!#REF!</definedName>
    <definedName name="чсм" localSheetId="7">'[1]15.10.9д'!#REF!</definedName>
    <definedName name="чсм" localSheetId="9">'[1]15.10.9д'!#REF!</definedName>
    <definedName name="чсм" localSheetId="11">'[1]15.10.9д'!#REF!</definedName>
    <definedName name="чсм" localSheetId="13">'[1]15.10.9д'!#REF!</definedName>
    <definedName name="чсм" localSheetId="15">'[1]15.10.9д'!#REF!</definedName>
    <definedName name="чсм" localSheetId="17">'[1]15.10.9д'!#REF!</definedName>
    <definedName name="чсм">'[1]15.10.9д'!#REF!</definedName>
    <definedName name="чсми" localSheetId="3">'[1]15.10.9д'!#REF!</definedName>
    <definedName name="чсми" localSheetId="5">'[1]15.10.9д'!#REF!</definedName>
    <definedName name="чсми" localSheetId="7">'[1]15.10.9д'!#REF!</definedName>
    <definedName name="чсми" localSheetId="9">'[1]15.10.9д'!#REF!</definedName>
    <definedName name="чсми" localSheetId="11">'[1]15.10.9д'!#REF!</definedName>
    <definedName name="чсми" localSheetId="13">'[1]15.10.9д'!#REF!</definedName>
    <definedName name="чсми" localSheetId="15">'[1]15.10.9д'!#REF!</definedName>
    <definedName name="чсми" localSheetId="17">'[1]15.10.9д'!#REF!</definedName>
    <definedName name="чсми">'[1]15.10.9д'!#REF!</definedName>
    <definedName name="ыва" localSheetId="3">'[1]15.10.9д'!#REF!</definedName>
    <definedName name="ыва" localSheetId="5">'[1]15.10.9д'!#REF!</definedName>
    <definedName name="ыва" localSheetId="7">'[1]15.10.9д'!#REF!</definedName>
    <definedName name="ыва" localSheetId="9">'[1]15.10.9д'!#REF!</definedName>
    <definedName name="ыва" localSheetId="11">'[1]15.10.9д'!#REF!</definedName>
    <definedName name="ыва" localSheetId="13">'[1]15.10.9д'!#REF!</definedName>
    <definedName name="ыва" localSheetId="15">'[1]15.10.9д'!#REF!</definedName>
    <definedName name="ыва" localSheetId="17">'[1]15.10.9д'!#REF!</definedName>
    <definedName name="ыва">'[1]15.10.9д'!#REF!</definedName>
    <definedName name="э2" localSheetId="3">'[1]15.10.9д'!#REF!</definedName>
    <definedName name="э2" localSheetId="5">'[1]15.10.9д'!#REF!</definedName>
    <definedName name="э2" localSheetId="7">'[1]15.10.9д'!#REF!</definedName>
    <definedName name="э2" localSheetId="9">'[1]15.10.9д'!#REF!</definedName>
    <definedName name="э2" localSheetId="11">'[1]15.10.9д'!#REF!</definedName>
    <definedName name="э2" localSheetId="13">'[1]15.10.9д'!#REF!</definedName>
    <definedName name="э2" localSheetId="15">'[1]15.10.9д'!#REF!</definedName>
    <definedName name="э2" localSheetId="17">'[1]15.10.9д'!#REF!</definedName>
    <definedName name="э2">'[1]15.10.9д'!#REF!</definedName>
    <definedName name="ю12" localSheetId="3">'[1]15.10.9д'!#REF!</definedName>
    <definedName name="ю12" localSheetId="5">'[1]15.10.9д'!#REF!</definedName>
    <definedName name="ю12" localSheetId="7">'[1]15.10.9д'!#REF!</definedName>
    <definedName name="ю12" localSheetId="9">'[1]15.10.9д'!#REF!</definedName>
    <definedName name="ю12" localSheetId="11">'[1]15.10.9д'!#REF!</definedName>
    <definedName name="ю12" localSheetId="13">'[1]15.10.9д'!#REF!</definedName>
    <definedName name="ю12" localSheetId="15">'[1]15.10.9д'!#REF!</definedName>
    <definedName name="ю12" localSheetId="17">'[1]15.10.9д'!#REF!</definedName>
    <definedName name="ю12">'[1]15.10.9д'!#REF!</definedName>
    <definedName name="ячс" localSheetId="3">'[1]15.10.9д'!#REF!</definedName>
    <definedName name="ячс" localSheetId="5">'[1]15.10.9д'!#REF!</definedName>
    <definedName name="ячс" localSheetId="7">'[1]15.10.9д'!#REF!</definedName>
    <definedName name="ячс" localSheetId="9">'[1]15.10.9д'!#REF!</definedName>
    <definedName name="ячс" localSheetId="11">'[1]15.10.9д'!#REF!</definedName>
    <definedName name="ячс" localSheetId="13">'[1]15.10.9д'!#REF!</definedName>
    <definedName name="ячс" localSheetId="15">'[1]15.10.9д'!#REF!</definedName>
    <definedName name="ячс" localSheetId="17">'[1]15.10.9д'!#REF!</definedName>
    <definedName name="ячс">'[1]15.10.9д'!#REF!</definedName>
  </definedNames>
  <calcPr calcId="152511"/>
</workbook>
</file>

<file path=xl/calcChain.xml><?xml version="1.0" encoding="utf-8"?>
<calcChain xmlns="http://schemas.openxmlformats.org/spreadsheetml/2006/main">
  <c r="J45" i="23" l="1"/>
  <c r="H45" i="23"/>
  <c r="J44" i="23"/>
  <c r="H44" i="23"/>
  <c r="L41" i="23"/>
  <c r="H41" i="23"/>
  <c r="F41" i="23"/>
  <c r="A38" i="23"/>
  <c r="G38" i="23" s="1"/>
  <c r="K37" i="23"/>
  <c r="G37" i="23"/>
  <c r="E37" i="23"/>
  <c r="J36" i="23"/>
  <c r="L33" i="23"/>
  <c r="F33" i="23"/>
  <c r="K26" i="23"/>
  <c r="E26" i="23"/>
  <c r="A25" i="23"/>
  <c r="A26" i="23" s="1"/>
  <c r="A27" i="23" s="1"/>
  <c r="A28" i="23" s="1"/>
  <c r="G24" i="23"/>
  <c r="G25" i="23" s="1"/>
  <c r="G26" i="23" s="1"/>
  <c r="G27" i="23" s="1"/>
  <c r="G28" i="23" s="1"/>
  <c r="A24" i="23"/>
  <c r="J23" i="23"/>
  <c r="L21" i="23"/>
  <c r="F21" i="23"/>
  <c r="G15" i="23"/>
  <c r="G16" i="23" s="1"/>
  <c r="A15" i="23"/>
  <c r="A16" i="23" s="1"/>
  <c r="K14" i="23"/>
  <c r="E14" i="23"/>
  <c r="J13" i="23"/>
  <c r="H13" i="23"/>
  <c r="L11" i="23"/>
  <c r="K11" i="23"/>
  <c r="I11" i="23"/>
  <c r="J45" i="22"/>
  <c r="H45" i="22"/>
  <c r="J44" i="22"/>
  <c r="H44" i="22"/>
  <c r="L41" i="22"/>
  <c r="H41" i="22"/>
  <c r="F41" i="22"/>
  <c r="A38" i="22"/>
  <c r="G38" i="22" s="1"/>
  <c r="K37" i="22"/>
  <c r="G37" i="22"/>
  <c r="E37" i="22"/>
  <c r="J36" i="22"/>
  <c r="L33" i="22"/>
  <c r="F33" i="22"/>
  <c r="K26" i="22"/>
  <c r="E26" i="22"/>
  <c r="A25" i="22"/>
  <c r="A26" i="22" s="1"/>
  <c r="A27" i="22" s="1"/>
  <c r="A28" i="22" s="1"/>
  <c r="G24" i="22"/>
  <c r="G25" i="22" s="1"/>
  <c r="G26" i="22" s="1"/>
  <c r="G27" i="22" s="1"/>
  <c r="G28" i="22" s="1"/>
  <c r="A24" i="22"/>
  <c r="J23" i="22"/>
  <c r="L21" i="22"/>
  <c r="F21" i="22"/>
  <c r="G15" i="22"/>
  <c r="G16" i="22" s="1"/>
  <c r="A15" i="22"/>
  <c r="A16" i="22" s="1"/>
  <c r="K14" i="22"/>
  <c r="E14" i="22"/>
  <c r="J13" i="22"/>
  <c r="H13" i="22"/>
  <c r="L11" i="22"/>
  <c r="K11" i="22"/>
  <c r="I11" i="22"/>
  <c r="J45" i="21"/>
  <c r="H45" i="21"/>
  <c r="J44" i="21"/>
  <c r="H44" i="21"/>
  <c r="L41" i="21"/>
  <c r="H41" i="21"/>
  <c r="F41" i="21"/>
  <c r="G38" i="21"/>
  <c r="A38" i="21"/>
  <c r="K37" i="21"/>
  <c r="G37" i="21"/>
  <c r="E37" i="21"/>
  <c r="J36" i="21"/>
  <c r="L33" i="21"/>
  <c r="F33" i="21"/>
  <c r="K26" i="21"/>
  <c r="E26" i="21"/>
  <c r="G25" i="21"/>
  <c r="G26" i="21" s="1"/>
  <c r="G27" i="21" s="1"/>
  <c r="G28" i="21" s="1"/>
  <c r="G24" i="21"/>
  <c r="A24" i="21"/>
  <c r="A25" i="21" s="1"/>
  <c r="A26" i="21" s="1"/>
  <c r="A27" i="21" s="1"/>
  <c r="A28" i="21" s="1"/>
  <c r="J23" i="21"/>
  <c r="L21" i="21"/>
  <c r="F21" i="21"/>
  <c r="G16" i="21"/>
  <c r="A16" i="21"/>
  <c r="G15" i="21"/>
  <c r="A15" i="21"/>
  <c r="K14" i="21"/>
  <c r="E14" i="21"/>
  <c r="J13" i="21"/>
  <c r="H13" i="21"/>
  <c r="L11" i="21"/>
  <c r="K11" i="21"/>
  <c r="I11" i="21"/>
  <c r="J45" i="20"/>
  <c r="H45" i="20"/>
  <c r="J44" i="20"/>
  <c r="H44" i="20"/>
  <c r="L41" i="20"/>
  <c r="H41" i="20"/>
  <c r="F41" i="20"/>
  <c r="G38" i="20"/>
  <c r="A38" i="20"/>
  <c r="K37" i="20"/>
  <c r="G37" i="20"/>
  <c r="E37" i="20"/>
  <c r="J36" i="20"/>
  <c r="L33" i="20"/>
  <c r="F33" i="20"/>
  <c r="K26" i="20"/>
  <c r="E26" i="20"/>
  <c r="G25" i="20"/>
  <c r="G26" i="20" s="1"/>
  <c r="G27" i="20" s="1"/>
  <c r="G28" i="20" s="1"/>
  <c r="G24" i="20"/>
  <c r="A24" i="20"/>
  <c r="A25" i="20" s="1"/>
  <c r="A26" i="20" s="1"/>
  <c r="A27" i="20" s="1"/>
  <c r="A28" i="20" s="1"/>
  <c r="J23" i="20"/>
  <c r="L21" i="20"/>
  <c r="F21" i="20"/>
  <c r="A16" i="20"/>
  <c r="G15" i="20"/>
  <c r="G16" i="20" s="1"/>
  <c r="A15" i="20"/>
  <c r="K14" i="20"/>
  <c r="E14" i="20"/>
  <c r="J13" i="20"/>
  <c r="H13" i="20"/>
  <c r="L11" i="20"/>
  <c r="K11" i="20"/>
  <c r="I11" i="20"/>
  <c r="J45" i="19"/>
  <c r="H45" i="19"/>
  <c r="J44" i="19"/>
  <c r="H44" i="19"/>
  <c r="L41" i="19"/>
  <c r="H41" i="19"/>
  <c r="F41" i="19"/>
  <c r="G38" i="19"/>
  <c r="A38" i="19"/>
  <c r="K37" i="19"/>
  <c r="G37" i="19"/>
  <c r="E37" i="19"/>
  <c r="J36" i="19"/>
  <c r="L33" i="19"/>
  <c r="F33" i="19"/>
  <c r="K26" i="19"/>
  <c r="E26" i="19"/>
  <c r="G25" i="19"/>
  <c r="G26" i="19" s="1"/>
  <c r="G27" i="19" s="1"/>
  <c r="G28" i="19" s="1"/>
  <c r="A25" i="19"/>
  <c r="A26" i="19" s="1"/>
  <c r="A27" i="19" s="1"/>
  <c r="A28" i="19" s="1"/>
  <c r="G24" i="19"/>
  <c r="A24" i="19"/>
  <c r="J23" i="19"/>
  <c r="L21" i="19"/>
  <c r="F21" i="19"/>
  <c r="A16" i="19"/>
  <c r="G15" i="19"/>
  <c r="G16" i="19" s="1"/>
  <c r="A15" i="19"/>
  <c r="K14" i="19"/>
  <c r="E14" i="19"/>
  <c r="J13" i="19"/>
  <c r="H13" i="19"/>
  <c r="L11" i="19"/>
  <c r="K11" i="19"/>
  <c r="I11" i="19"/>
  <c r="J45" i="18"/>
  <c r="H45" i="18"/>
  <c r="J44" i="18"/>
  <c r="H44" i="18"/>
  <c r="L41" i="18"/>
  <c r="H41" i="18"/>
  <c r="F41" i="18"/>
  <c r="G38" i="18"/>
  <c r="A38" i="18"/>
  <c r="K37" i="18"/>
  <c r="G37" i="18"/>
  <c r="E37" i="18"/>
  <c r="J36" i="18"/>
  <c r="L33" i="18"/>
  <c r="F33" i="18"/>
  <c r="K26" i="18"/>
  <c r="E26" i="18"/>
  <c r="G25" i="18"/>
  <c r="G26" i="18" s="1"/>
  <c r="G27" i="18" s="1"/>
  <c r="G28" i="18" s="1"/>
  <c r="G24" i="18"/>
  <c r="A24" i="18"/>
  <c r="A25" i="18" s="1"/>
  <c r="A26" i="18" s="1"/>
  <c r="A27" i="18" s="1"/>
  <c r="A28" i="18" s="1"/>
  <c r="J23" i="18"/>
  <c r="L21" i="18"/>
  <c r="F21" i="18"/>
  <c r="G16" i="18"/>
  <c r="A16" i="18"/>
  <c r="G15" i="18"/>
  <c r="A15" i="18"/>
  <c r="K14" i="18"/>
  <c r="E14" i="18"/>
  <c r="J13" i="18"/>
  <c r="H13" i="18"/>
  <c r="L11" i="18"/>
  <c r="K11" i="18"/>
  <c r="I11" i="18"/>
  <c r="J45" i="17"/>
  <c r="H45" i="17"/>
  <c r="J44" i="17"/>
  <c r="H44" i="17"/>
  <c r="L41" i="17"/>
  <c r="H41" i="17"/>
  <c r="F41" i="17"/>
  <c r="G38" i="17"/>
  <c r="A38" i="17"/>
  <c r="K37" i="17"/>
  <c r="G37" i="17"/>
  <c r="E37" i="17"/>
  <c r="J36" i="17"/>
  <c r="L33" i="17"/>
  <c r="F33" i="17"/>
  <c r="K26" i="17"/>
  <c r="E26" i="17"/>
  <c r="G25" i="17"/>
  <c r="G26" i="17" s="1"/>
  <c r="G27" i="17" s="1"/>
  <c r="G28" i="17" s="1"/>
  <c r="G24" i="17"/>
  <c r="A24" i="17"/>
  <c r="A25" i="17" s="1"/>
  <c r="A26" i="17" s="1"/>
  <c r="A27" i="17" s="1"/>
  <c r="A28" i="17" s="1"/>
  <c r="J23" i="17"/>
  <c r="L21" i="17"/>
  <c r="F21" i="17"/>
  <c r="G16" i="17"/>
  <c r="A16" i="17"/>
  <c r="G15" i="17"/>
  <c r="A15" i="17"/>
  <c r="K14" i="17"/>
  <c r="E14" i="17"/>
  <c r="J13" i="17"/>
  <c r="H13" i="17"/>
  <c r="L11" i="17"/>
  <c r="K11" i="17"/>
  <c r="I11" i="17"/>
  <c r="J45" i="16"/>
  <c r="H45" i="16"/>
  <c r="J44" i="16"/>
  <c r="H44" i="16"/>
  <c r="L41" i="16"/>
  <c r="H41" i="16"/>
  <c r="F41" i="16"/>
  <c r="G38" i="16"/>
  <c r="A38" i="16"/>
  <c r="K37" i="16"/>
  <c r="G37" i="16"/>
  <c r="E37" i="16"/>
  <c r="J36" i="16"/>
  <c r="L33" i="16"/>
  <c r="F33" i="16"/>
  <c r="K26" i="16"/>
  <c r="E26" i="16"/>
  <c r="G25" i="16"/>
  <c r="G26" i="16" s="1"/>
  <c r="G27" i="16" s="1"/>
  <c r="G28" i="16" s="1"/>
  <c r="G24" i="16"/>
  <c r="A24" i="16"/>
  <c r="A25" i="16" s="1"/>
  <c r="A26" i="16" s="1"/>
  <c r="A27" i="16" s="1"/>
  <c r="A28" i="16" s="1"/>
  <c r="J23" i="16"/>
  <c r="L21" i="16"/>
  <c r="F21" i="16"/>
  <c r="A16" i="16"/>
  <c r="G15" i="16"/>
  <c r="G16" i="16" s="1"/>
  <c r="A15" i="16"/>
  <c r="K14" i="16"/>
  <c r="E14" i="16"/>
  <c r="J13" i="16"/>
  <c r="H13" i="16"/>
  <c r="L11" i="16"/>
  <c r="K11" i="16"/>
  <c r="I11" i="16"/>
  <c r="T31" i="15"/>
  <c r="T33" i="15" s="1"/>
  <c r="S31" i="15"/>
  <c r="S33" i="15" s="1"/>
  <c r="R31" i="15"/>
  <c r="R33" i="15" s="1"/>
  <c r="Q31" i="15"/>
  <c r="Q33" i="15" s="1"/>
  <c r="P31" i="15"/>
  <c r="M31" i="15"/>
  <c r="M32" i="15" s="1"/>
  <c r="J31" i="15"/>
  <c r="J33" i="15" s="1"/>
  <c r="I31" i="15"/>
  <c r="I33" i="15" s="1"/>
  <c r="H31" i="15"/>
  <c r="H33" i="15" s="1"/>
  <c r="G31" i="15"/>
  <c r="G33" i="15" s="1"/>
  <c r="F31" i="15"/>
  <c r="C31" i="15"/>
  <c r="C32" i="15" s="1"/>
  <c r="T23" i="15"/>
  <c r="S23" i="15"/>
  <c r="R23" i="15"/>
  <c r="Q23" i="15"/>
  <c r="P23" i="15"/>
  <c r="F23" i="15"/>
  <c r="M22" i="15"/>
  <c r="M23" i="15" s="1"/>
  <c r="M24" i="15" s="1"/>
  <c r="M25" i="15" s="1"/>
  <c r="M26" i="15" s="1"/>
  <c r="C22" i="15"/>
  <c r="C23" i="15" s="1"/>
  <c r="C24" i="15" s="1"/>
  <c r="C25" i="15" s="1"/>
  <c r="C26" i="15" s="1"/>
  <c r="T21" i="15"/>
  <c r="S21" i="15"/>
  <c r="S29" i="15" s="1"/>
  <c r="R21" i="15"/>
  <c r="R29" i="15" s="1"/>
  <c r="Q21" i="15"/>
  <c r="Q29" i="15" s="1"/>
  <c r="J21" i="15"/>
  <c r="J29" i="15" s="1"/>
  <c r="I21" i="15"/>
  <c r="I29" i="15" s="1"/>
  <c r="H21" i="15"/>
  <c r="H29" i="15" s="1"/>
  <c r="G21" i="15"/>
  <c r="G29" i="15" s="1"/>
  <c r="J20" i="15"/>
  <c r="I20" i="15"/>
  <c r="H20" i="15"/>
  <c r="G20" i="15"/>
  <c r="M14" i="15"/>
  <c r="M15" i="15" s="1"/>
  <c r="M16" i="15" s="1"/>
  <c r="C14" i="15"/>
  <c r="C15" i="15" s="1"/>
  <c r="C16" i="15" s="1"/>
  <c r="T13" i="15"/>
  <c r="T20" i="15" s="1"/>
  <c r="S13" i="15"/>
  <c r="S20" i="15" s="1"/>
  <c r="R13" i="15"/>
  <c r="R20" i="15" s="1"/>
  <c r="Q13" i="15"/>
  <c r="Q20" i="15" s="1"/>
  <c r="P13" i="15"/>
  <c r="P20" i="15" s="1"/>
  <c r="F13" i="15"/>
  <c r="J45" i="14"/>
  <c r="H45" i="14"/>
  <c r="J44" i="14"/>
  <c r="H44" i="14"/>
  <c r="L41" i="14"/>
  <c r="H41" i="14"/>
  <c r="F41" i="14"/>
  <c r="G38" i="14"/>
  <c r="A38" i="14"/>
  <c r="K37" i="14"/>
  <c r="G37" i="14"/>
  <c r="E37" i="14"/>
  <c r="J36" i="14"/>
  <c r="L33" i="14"/>
  <c r="F33" i="14"/>
  <c r="K26" i="14"/>
  <c r="E26" i="14"/>
  <c r="G25" i="14"/>
  <c r="G26" i="14" s="1"/>
  <c r="G27" i="14" s="1"/>
  <c r="G28" i="14" s="1"/>
  <c r="G24" i="14"/>
  <c r="A24" i="14"/>
  <c r="A25" i="14" s="1"/>
  <c r="A26" i="14" s="1"/>
  <c r="A27" i="14" s="1"/>
  <c r="A28" i="14" s="1"/>
  <c r="J23" i="14"/>
  <c r="L21" i="14"/>
  <c r="F21" i="14"/>
  <c r="G16" i="14"/>
  <c r="A16" i="14"/>
  <c r="G15" i="14"/>
  <c r="A15" i="14"/>
  <c r="K14" i="14"/>
  <c r="E14" i="14"/>
  <c r="J13" i="14"/>
  <c r="H13" i="14"/>
  <c r="L11" i="14"/>
  <c r="K11" i="14"/>
  <c r="I11" i="14"/>
  <c r="T29" i="15" l="1"/>
  <c r="C17" i="15"/>
  <c r="M17" i="15"/>
  <c r="F29" i="15"/>
  <c r="F33" i="15"/>
  <c r="F20" i="15"/>
  <c r="P29" i="15"/>
  <c r="P33" i="15"/>
  <c r="I33" i="13"/>
  <c r="H33" i="13"/>
  <c r="G33" i="13"/>
  <c r="F33" i="13"/>
  <c r="R31" i="13"/>
  <c r="R33" i="13" s="1"/>
  <c r="Q31" i="13"/>
  <c r="Q33" i="13" s="1"/>
  <c r="P31" i="13"/>
  <c r="P33" i="13" s="1"/>
  <c r="O31" i="13"/>
  <c r="O33" i="13" s="1"/>
  <c r="L31" i="13"/>
  <c r="C31" i="13"/>
  <c r="R26" i="13"/>
  <c r="Q26" i="13"/>
  <c r="P26" i="13"/>
  <c r="O26" i="13"/>
  <c r="I26" i="13"/>
  <c r="H26" i="13"/>
  <c r="G26" i="13"/>
  <c r="F26" i="13"/>
  <c r="R24" i="13"/>
  <c r="Q24" i="13"/>
  <c r="P24" i="13"/>
  <c r="O24" i="13"/>
  <c r="I24" i="13"/>
  <c r="H24" i="13"/>
  <c r="G24" i="13"/>
  <c r="F24" i="13"/>
  <c r="R23" i="13"/>
  <c r="Q23" i="13"/>
  <c r="P23" i="13"/>
  <c r="P29" i="13" s="1"/>
  <c r="I23" i="13"/>
  <c r="H23" i="13"/>
  <c r="H29" i="13" s="1"/>
  <c r="G23" i="13"/>
  <c r="L22" i="13"/>
  <c r="L23" i="13" s="1"/>
  <c r="L24" i="13" s="1"/>
  <c r="L25" i="13" s="1"/>
  <c r="L26" i="13" s="1"/>
  <c r="L27" i="13" s="1"/>
  <c r="C22" i="13"/>
  <c r="C23" i="13" s="1"/>
  <c r="C24" i="13" s="1"/>
  <c r="C25" i="13" s="1"/>
  <c r="C26" i="13" s="1"/>
  <c r="C27" i="13" s="1"/>
  <c r="I20" i="13"/>
  <c r="H20" i="13"/>
  <c r="G20" i="13"/>
  <c r="F20" i="13"/>
  <c r="R14" i="13"/>
  <c r="R20" i="13" s="1"/>
  <c r="Q14" i="13"/>
  <c r="Q20" i="13" s="1"/>
  <c r="P14" i="13"/>
  <c r="P20" i="13" s="1"/>
  <c r="O14" i="13"/>
  <c r="O20" i="13" s="1"/>
  <c r="L14" i="13"/>
  <c r="L15" i="13" s="1"/>
  <c r="L16" i="13" s="1"/>
  <c r="C14" i="13"/>
  <c r="C15" i="13" s="1"/>
  <c r="C16" i="13" s="1"/>
  <c r="T11" i="15" l="1"/>
  <c r="F29" i="13"/>
  <c r="O29" i="13"/>
  <c r="I29" i="13"/>
  <c r="Q29" i="13"/>
  <c r="R29" i="13"/>
  <c r="G29" i="13"/>
  <c r="R11" i="13" l="1"/>
  <c r="R31" i="12" l="1"/>
  <c r="R33" i="12" s="1"/>
  <c r="Q31" i="12"/>
  <c r="Q33" i="12" s="1"/>
  <c r="P31" i="12"/>
  <c r="P33" i="12" s="1"/>
  <c r="O31" i="12"/>
  <c r="O33" i="12" s="1"/>
  <c r="L31" i="12"/>
  <c r="I31" i="12"/>
  <c r="I33" i="12" s="1"/>
  <c r="H31" i="12"/>
  <c r="H33" i="12" s="1"/>
  <c r="G31" i="12"/>
  <c r="G33" i="12" s="1"/>
  <c r="F31" i="12"/>
  <c r="F33" i="12" s="1"/>
  <c r="C31" i="12"/>
  <c r="R24" i="12"/>
  <c r="R29" i="12" s="1"/>
  <c r="Q24" i="12"/>
  <c r="Q29" i="12" s="1"/>
  <c r="P24" i="12"/>
  <c r="P29" i="12" s="1"/>
  <c r="O24" i="12"/>
  <c r="O29" i="12" s="1"/>
  <c r="I24" i="12"/>
  <c r="I29" i="12" s="1"/>
  <c r="H24" i="12"/>
  <c r="H29" i="12" s="1"/>
  <c r="G24" i="12"/>
  <c r="G29" i="12" s="1"/>
  <c r="F24" i="12"/>
  <c r="F29" i="12" s="1"/>
  <c r="L22" i="12"/>
  <c r="L23" i="12" s="1"/>
  <c r="L24" i="12" s="1"/>
  <c r="L25" i="12" s="1"/>
  <c r="L26" i="12" s="1"/>
  <c r="L27" i="12" s="1"/>
  <c r="C22" i="12"/>
  <c r="C23" i="12" s="1"/>
  <c r="C24" i="12" s="1"/>
  <c r="C25" i="12" s="1"/>
  <c r="C26" i="12" s="1"/>
  <c r="C27" i="12" s="1"/>
  <c r="I20" i="12"/>
  <c r="H20" i="12"/>
  <c r="G20" i="12"/>
  <c r="F20" i="12"/>
  <c r="L14" i="12"/>
  <c r="L15" i="12" s="1"/>
  <c r="L16" i="12" s="1"/>
  <c r="C14" i="12"/>
  <c r="C15" i="12" s="1"/>
  <c r="C16" i="12" s="1"/>
  <c r="R13" i="12"/>
  <c r="R20" i="12" s="1"/>
  <c r="Q13" i="12"/>
  <c r="Q20" i="12" s="1"/>
  <c r="P13" i="12"/>
  <c r="P20" i="12" s="1"/>
  <c r="O13" i="12"/>
  <c r="O20" i="12" s="1"/>
  <c r="I33" i="11"/>
  <c r="H33" i="11"/>
  <c r="G33" i="11"/>
  <c r="F33" i="11"/>
  <c r="R31" i="11"/>
  <c r="R33" i="11" s="1"/>
  <c r="Q31" i="11"/>
  <c r="Q33" i="11" s="1"/>
  <c r="P31" i="11"/>
  <c r="P33" i="11" s="1"/>
  <c r="O31" i="11"/>
  <c r="O33" i="11" s="1"/>
  <c r="L31" i="11"/>
  <c r="C31" i="11"/>
  <c r="R24" i="11"/>
  <c r="R29" i="11" s="1"/>
  <c r="Q24" i="11"/>
  <c r="Q29" i="11" s="1"/>
  <c r="P24" i="11"/>
  <c r="P29" i="11" s="1"/>
  <c r="O24" i="11"/>
  <c r="O29" i="11" s="1"/>
  <c r="I24" i="11"/>
  <c r="I29" i="11" s="1"/>
  <c r="H24" i="11"/>
  <c r="H29" i="11" s="1"/>
  <c r="G24" i="11"/>
  <c r="G29" i="11" s="1"/>
  <c r="F24" i="11"/>
  <c r="F29" i="11" s="1"/>
  <c r="L22" i="11"/>
  <c r="L23" i="11" s="1"/>
  <c r="L24" i="11" s="1"/>
  <c r="L25" i="11" s="1"/>
  <c r="L26" i="11" s="1"/>
  <c r="L27" i="11" s="1"/>
  <c r="C22" i="11"/>
  <c r="C23" i="11" s="1"/>
  <c r="C24" i="11" s="1"/>
  <c r="C25" i="11" s="1"/>
  <c r="C26" i="11" s="1"/>
  <c r="C27" i="11" s="1"/>
  <c r="P20" i="11"/>
  <c r="O20" i="11"/>
  <c r="G20" i="11"/>
  <c r="F20" i="11"/>
  <c r="R18" i="11"/>
  <c r="R20" i="11" s="1"/>
  <c r="Q18" i="11"/>
  <c r="Q20" i="11" s="1"/>
  <c r="I18" i="11"/>
  <c r="I20" i="11" s="1"/>
  <c r="H18" i="11"/>
  <c r="H20" i="11" s="1"/>
  <c r="L14" i="11"/>
  <c r="L15" i="11" s="1"/>
  <c r="L16" i="11" s="1"/>
  <c r="C14" i="11"/>
  <c r="C15" i="11" s="1"/>
  <c r="C16" i="11" s="1"/>
  <c r="I33" i="10"/>
  <c r="H33" i="10"/>
  <c r="G33" i="10"/>
  <c r="F33" i="10"/>
  <c r="R31" i="10"/>
  <c r="R33" i="10" s="1"/>
  <c r="Q31" i="10"/>
  <c r="Q33" i="10" s="1"/>
  <c r="P31" i="10"/>
  <c r="P33" i="10" s="1"/>
  <c r="O31" i="10"/>
  <c r="O33" i="10" s="1"/>
  <c r="L31" i="10"/>
  <c r="C31" i="10"/>
  <c r="L22" i="10"/>
  <c r="L23" i="10" s="1"/>
  <c r="L24" i="10" s="1"/>
  <c r="L25" i="10" s="1"/>
  <c r="L26" i="10" s="1"/>
  <c r="L27" i="10" s="1"/>
  <c r="C22" i="10"/>
  <c r="C23" i="10" s="1"/>
  <c r="C24" i="10" s="1"/>
  <c r="C25" i="10" s="1"/>
  <c r="C26" i="10" s="1"/>
  <c r="C27" i="10" s="1"/>
  <c r="R21" i="10"/>
  <c r="R29" i="10" s="1"/>
  <c r="Q21" i="10"/>
  <c r="Q29" i="10" s="1"/>
  <c r="P21" i="10"/>
  <c r="P29" i="10" s="1"/>
  <c r="O21" i="10"/>
  <c r="O29" i="10" s="1"/>
  <c r="I21" i="10"/>
  <c r="I29" i="10" s="1"/>
  <c r="H21" i="10"/>
  <c r="H29" i="10" s="1"/>
  <c r="G21" i="10"/>
  <c r="G29" i="10" s="1"/>
  <c r="F21" i="10"/>
  <c r="F29" i="10" s="1"/>
  <c r="I20" i="10"/>
  <c r="H20" i="10"/>
  <c r="G20" i="10"/>
  <c r="F20" i="10"/>
  <c r="R14" i="10"/>
  <c r="R20" i="10" s="1"/>
  <c r="Q14" i="10"/>
  <c r="Q20" i="10" s="1"/>
  <c r="P14" i="10"/>
  <c r="P20" i="10" s="1"/>
  <c r="O14" i="10"/>
  <c r="O20" i="10" s="1"/>
  <c r="L14" i="10"/>
  <c r="L15" i="10" s="1"/>
  <c r="L16" i="10" s="1"/>
  <c r="C14" i="10"/>
  <c r="C15" i="10" s="1"/>
  <c r="C16" i="10" s="1"/>
  <c r="I33" i="8"/>
  <c r="H33" i="8"/>
  <c r="G33" i="8"/>
  <c r="F33" i="8"/>
  <c r="R31" i="8"/>
  <c r="R33" i="8" s="1"/>
  <c r="Q31" i="8"/>
  <c r="Q33" i="8" s="1"/>
  <c r="P31" i="8"/>
  <c r="P33" i="8" s="1"/>
  <c r="O31" i="8"/>
  <c r="O33" i="8" s="1"/>
  <c r="L31" i="8"/>
  <c r="C31" i="8"/>
  <c r="R26" i="8"/>
  <c r="Q26" i="8"/>
  <c r="P26" i="8"/>
  <c r="O26" i="8"/>
  <c r="I26" i="8"/>
  <c r="H26" i="8"/>
  <c r="G26" i="8"/>
  <c r="F26" i="8"/>
  <c r="R24" i="8"/>
  <c r="Q24" i="8"/>
  <c r="P24" i="8"/>
  <c r="O24" i="8"/>
  <c r="O29" i="8" s="1"/>
  <c r="I24" i="8"/>
  <c r="H24" i="8"/>
  <c r="G24" i="8"/>
  <c r="F24" i="8"/>
  <c r="R23" i="8"/>
  <c r="Q23" i="8"/>
  <c r="P23" i="8"/>
  <c r="P29" i="8" s="1"/>
  <c r="I23" i="8"/>
  <c r="H23" i="8"/>
  <c r="G23" i="8"/>
  <c r="L22" i="8"/>
  <c r="L23" i="8" s="1"/>
  <c r="L24" i="8" s="1"/>
  <c r="L25" i="8" s="1"/>
  <c r="L26" i="8" s="1"/>
  <c r="L27" i="8" s="1"/>
  <c r="C22" i="8"/>
  <c r="C23" i="8" s="1"/>
  <c r="C24" i="8" s="1"/>
  <c r="C25" i="8" s="1"/>
  <c r="C26" i="8" s="1"/>
  <c r="C27" i="8" s="1"/>
  <c r="L14" i="8"/>
  <c r="L15" i="8" s="1"/>
  <c r="L16" i="8" s="1"/>
  <c r="C14" i="8"/>
  <c r="C15" i="8" s="1"/>
  <c r="C16" i="8" s="1"/>
  <c r="R13" i="8"/>
  <c r="R20" i="8" s="1"/>
  <c r="Q13" i="8"/>
  <c r="Q20" i="8" s="1"/>
  <c r="P13" i="8"/>
  <c r="P20" i="8" s="1"/>
  <c r="O13" i="8"/>
  <c r="O20" i="8" s="1"/>
  <c r="I13" i="8"/>
  <c r="I20" i="8" s="1"/>
  <c r="H13" i="8"/>
  <c r="H20" i="8" s="1"/>
  <c r="G13" i="8"/>
  <c r="G20" i="8" s="1"/>
  <c r="F13" i="8"/>
  <c r="F20" i="8" s="1"/>
  <c r="R31" i="7"/>
  <c r="R33" i="7" s="1"/>
  <c r="Q31" i="7"/>
  <c r="Q33" i="7" s="1"/>
  <c r="P31" i="7"/>
  <c r="P33" i="7" s="1"/>
  <c r="O31" i="7"/>
  <c r="O33" i="7" s="1"/>
  <c r="L31" i="7"/>
  <c r="I31" i="7"/>
  <c r="I33" i="7" s="1"/>
  <c r="H31" i="7"/>
  <c r="H33" i="7" s="1"/>
  <c r="G31" i="7"/>
  <c r="G33" i="7" s="1"/>
  <c r="F31" i="7"/>
  <c r="F33" i="7" s="1"/>
  <c r="C31" i="7"/>
  <c r="R26" i="7"/>
  <c r="Q26" i="7"/>
  <c r="P26" i="7"/>
  <c r="O26" i="7"/>
  <c r="I26" i="7"/>
  <c r="H26" i="7"/>
  <c r="G26" i="7"/>
  <c r="F26" i="7"/>
  <c r="R24" i="7"/>
  <c r="Q24" i="7"/>
  <c r="P24" i="7"/>
  <c r="O24" i="7"/>
  <c r="I24" i="7"/>
  <c r="H24" i="7"/>
  <c r="G24" i="7"/>
  <c r="F24" i="7"/>
  <c r="R23" i="7"/>
  <c r="Q23" i="7"/>
  <c r="P23" i="7"/>
  <c r="O23" i="7"/>
  <c r="I23" i="7"/>
  <c r="H23" i="7"/>
  <c r="G23" i="7"/>
  <c r="F23" i="7"/>
  <c r="R22" i="7"/>
  <c r="Q22" i="7"/>
  <c r="P22" i="7"/>
  <c r="O22" i="7"/>
  <c r="L22" i="7"/>
  <c r="L23" i="7" s="1"/>
  <c r="L24" i="7" s="1"/>
  <c r="L25" i="7" s="1"/>
  <c r="L26" i="7" s="1"/>
  <c r="L27" i="7" s="1"/>
  <c r="I22" i="7"/>
  <c r="H22" i="7"/>
  <c r="G22" i="7"/>
  <c r="F22" i="7"/>
  <c r="C22" i="7"/>
  <c r="C23" i="7" s="1"/>
  <c r="C24" i="7" s="1"/>
  <c r="C25" i="7" s="1"/>
  <c r="C26" i="7" s="1"/>
  <c r="C27" i="7" s="1"/>
  <c r="R21" i="7"/>
  <c r="Q21" i="7"/>
  <c r="P21" i="7"/>
  <c r="O21" i="7"/>
  <c r="I21" i="7"/>
  <c r="H21" i="7"/>
  <c r="G21" i="7"/>
  <c r="F21" i="7"/>
  <c r="I20" i="7"/>
  <c r="H20" i="7"/>
  <c r="G20" i="7"/>
  <c r="F20" i="7"/>
  <c r="L14" i="7"/>
  <c r="L15" i="7" s="1"/>
  <c r="L16" i="7" s="1"/>
  <c r="C14" i="7"/>
  <c r="C15" i="7" s="1"/>
  <c r="C16" i="7" s="1"/>
  <c r="R13" i="7"/>
  <c r="R20" i="7" s="1"/>
  <c r="Q13" i="7"/>
  <c r="Q20" i="7" s="1"/>
  <c r="P13" i="7"/>
  <c r="P20" i="7" s="1"/>
  <c r="O13" i="7"/>
  <c r="O20" i="7" s="1"/>
  <c r="F33" i="6"/>
  <c r="R31" i="6"/>
  <c r="R33" i="6" s="1"/>
  <c r="Q31" i="6"/>
  <c r="Q33" i="6" s="1"/>
  <c r="P31" i="6"/>
  <c r="P33" i="6" s="1"/>
  <c r="O31" i="6"/>
  <c r="O33" i="6" s="1"/>
  <c r="L31" i="6"/>
  <c r="I31" i="6"/>
  <c r="I33" i="6" s="1"/>
  <c r="H31" i="6"/>
  <c r="H33" i="6" s="1"/>
  <c r="G31" i="6"/>
  <c r="G33" i="6" s="1"/>
  <c r="C31" i="6"/>
  <c r="R26" i="6"/>
  <c r="Q26" i="6"/>
  <c r="P26" i="6"/>
  <c r="O26" i="6"/>
  <c r="I26" i="6"/>
  <c r="H26" i="6"/>
  <c r="G26" i="6"/>
  <c r="F26" i="6"/>
  <c r="R24" i="6"/>
  <c r="Q24" i="6"/>
  <c r="P24" i="6"/>
  <c r="O24" i="6"/>
  <c r="R22" i="6"/>
  <c r="Q22" i="6"/>
  <c r="P22" i="6"/>
  <c r="O22" i="6"/>
  <c r="L22" i="6"/>
  <c r="L23" i="6" s="1"/>
  <c r="L24" i="6" s="1"/>
  <c r="L25" i="6" s="1"/>
  <c r="L26" i="6" s="1"/>
  <c r="L27" i="6" s="1"/>
  <c r="I22" i="6"/>
  <c r="H22" i="6"/>
  <c r="G22" i="6"/>
  <c r="F22" i="6"/>
  <c r="C22" i="6"/>
  <c r="C23" i="6" s="1"/>
  <c r="C24" i="6" s="1"/>
  <c r="C25" i="6" s="1"/>
  <c r="C26" i="6" s="1"/>
  <c r="C27" i="6" s="1"/>
  <c r="R21" i="6"/>
  <c r="Q21" i="6"/>
  <c r="P21" i="6"/>
  <c r="O21" i="6"/>
  <c r="I21" i="6"/>
  <c r="H21" i="6"/>
  <c r="G21" i="6"/>
  <c r="F21" i="6"/>
  <c r="R20" i="6"/>
  <c r="Q20" i="6"/>
  <c r="P20" i="6"/>
  <c r="O20" i="6"/>
  <c r="I20" i="6"/>
  <c r="H20" i="6"/>
  <c r="G20" i="6"/>
  <c r="F20" i="6"/>
  <c r="L14" i="6"/>
  <c r="L15" i="6" s="1"/>
  <c r="L16" i="6" s="1"/>
  <c r="C14" i="6"/>
  <c r="C15" i="6" s="1"/>
  <c r="C16" i="6" s="1"/>
  <c r="I29" i="6" l="1"/>
  <c r="R29" i="6"/>
  <c r="F29" i="7"/>
  <c r="O29" i="7"/>
  <c r="G29" i="7"/>
  <c r="R29" i="8"/>
  <c r="H29" i="6"/>
  <c r="Q29" i="6"/>
  <c r="G29" i="8"/>
  <c r="F29" i="8"/>
  <c r="P29" i="7"/>
  <c r="Q29" i="8"/>
  <c r="F29" i="6"/>
  <c r="O29" i="6"/>
  <c r="H29" i="7"/>
  <c r="Q29" i="7"/>
  <c r="H29" i="8"/>
  <c r="G29" i="6"/>
  <c r="P29" i="6"/>
  <c r="I29" i="7"/>
  <c r="R29" i="7"/>
  <c r="I29" i="8"/>
  <c r="R11" i="10"/>
  <c r="L17" i="6"/>
  <c r="R11" i="7"/>
  <c r="C17" i="7"/>
  <c r="C17" i="6"/>
  <c r="L17" i="7"/>
  <c r="C17" i="10"/>
  <c r="R11" i="11"/>
  <c r="L17" i="11"/>
  <c r="L18" i="11" s="1"/>
  <c r="L17" i="10"/>
  <c r="C17" i="11"/>
  <c r="C18" i="11" s="1"/>
  <c r="R11" i="12"/>
  <c r="I33" i="5"/>
  <c r="G33" i="5"/>
  <c r="F33" i="5"/>
  <c r="R31" i="5"/>
  <c r="R33" i="5" s="1"/>
  <c r="Q31" i="5"/>
  <c r="P31" i="5"/>
  <c r="P33" i="5" s="1"/>
  <c r="O31" i="5"/>
  <c r="O33" i="5" s="1"/>
  <c r="L31" i="5"/>
  <c r="C31" i="5"/>
  <c r="Q30" i="5"/>
  <c r="H30" i="5"/>
  <c r="H33" i="5" s="1"/>
  <c r="R29" i="5"/>
  <c r="Q29" i="5"/>
  <c r="P29" i="5"/>
  <c r="O29" i="5"/>
  <c r="I29" i="5"/>
  <c r="H29" i="5"/>
  <c r="G29" i="5"/>
  <c r="F29" i="5"/>
  <c r="L22" i="5"/>
  <c r="L23" i="5" s="1"/>
  <c r="L24" i="5" s="1"/>
  <c r="L25" i="5" s="1"/>
  <c r="L26" i="5" s="1"/>
  <c r="L27" i="5" s="1"/>
  <c r="C22" i="5"/>
  <c r="C23" i="5" s="1"/>
  <c r="C24" i="5" s="1"/>
  <c r="C25" i="5" s="1"/>
  <c r="C26" i="5" s="1"/>
  <c r="C27" i="5" s="1"/>
  <c r="I20" i="5"/>
  <c r="H20" i="5"/>
  <c r="G20" i="5"/>
  <c r="F20" i="5"/>
  <c r="L14" i="5"/>
  <c r="L15" i="5" s="1"/>
  <c r="C14" i="5"/>
  <c r="C15" i="5" s="1"/>
  <c r="R13" i="5"/>
  <c r="R20" i="5" s="1"/>
  <c r="Q13" i="5"/>
  <c r="Q20" i="5" s="1"/>
  <c r="P13" i="5"/>
  <c r="P20" i="5" s="1"/>
  <c r="O13" i="5"/>
  <c r="O20" i="5" s="1"/>
  <c r="R11" i="8" l="1"/>
  <c r="R11" i="6"/>
  <c r="Q33" i="5"/>
  <c r="C17" i="5"/>
  <c r="C16" i="5"/>
  <c r="L17" i="5"/>
  <c r="L16" i="5"/>
  <c r="R11" i="5" l="1"/>
</calcChain>
</file>

<file path=xl/sharedStrings.xml><?xml version="1.0" encoding="utf-8"?>
<sst xmlns="http://schemas.openxmlformats.org/spreadsheetml/2006/main" count="2271" uniqueCount="166">
  <si>
    <t>Итого:</t>
  </si>
  <si>
    <t>напиток</t>
  </si>
  <si>
    <t>Полдник</t>
  </si>
  <si>
    <t>0,030</t>
  </si>
  <si>
    <t>Хлеб ржано-пшеничный</t>
  </si>
  <si>
    <t>хлеб черн.</t>
  </si>
  <si>
    <t>Хлеб пшеничный</t>
  </si>
  <si>
    <t>хлеб бел.</t>
  </si>
  <si>
    <t>1/200</t>
  </si>
  <si>
    <t>2 блюдо</t>
  </si>
  <si>
    <t>1 блюдо</t>
  </si>
  <si>
    <t>Обед</t>
  </si>
  <si>
    <t>1/30</t>
  </si>
  <si>
    <t>Батон</t>
  </si>
  <si>
    <t>хлеб</t>
  </si>
  <si>
    <t>Завтрак</t>
  </si>
  <si>
    <t>Калорийность</t>
  </si>
  <si>
    <t>Углеводы</t>
  </si>
  <si>
    <t>Жиры</t>
  </si>
  <si>
    <t>Белки</t>
  </si>
  <si>
    <t>Выход, г</t>
  </si>
  <si>
    <t>Блюдо</t>
  </si>
  <si>
    <t>Раздел</t>
  </si>
  <si>
    <t>Прием пищи</t>
  </si>
  <si>
    <t>Дата</t>
  </si>
  <si>
    <t>7-11 лет</t>
  </si>
  <si>
    <t>Возвраст</t>
  </si>
  <si>
    <t>КГОБУ "Петропавловск-Камчатская школа № 2"</t>
  </si>
  <si>
    <t>Школа</t>
  </si>
  <si>
    <t>12 и старше</t>
  </si>
  <si>
    <t>Салат</t>
  </si>
  <si>
    <t>1/150</t>
  </si>
  <si>
    <t>1/180</t>
  </si>
  <si>
    <t>1/70</t>
  </si>
  <si>
    <t>1/90</t>
  </si>
  <si>
    <t>Чай с сахаром</t>
  </si>
  <si>
    <t>1/250</t>
  </si>
  <si>
    <t>1/80</t>
  </si>
  <si>
    <t>гор.блюдо</t>
  </si>
  <si>
    <t xml:space="preserve">Сок </t>
  </si>
  <si>
    <t>"СОГЛАСОВАНО"</t>
  </si>
  <si>
    <t xml:space="preserve">"УТВЕРЖДАЮ"
Генеральный директор  АО "Столовая № 5"                           
</t>
  </si>
  <si>
    <t>Директор КГОБУ  "Петропавловск-Камчатская школа № 2"</t>
  </si>
  <si>
    <t xml:space="preserve"> _________________Борисенко А.А.</t>
  </si>
  <si>
    <t>_________________________________Бакшина В.В.</t>
  </si>
  <si>
    <t>М.П.</t>
  </si>
  <si>
    <t xml:space="preserve">Учреждение : </t>
  </si>
  <si>
    <t xml:space="preserve">Акционерное общество Столовая № 5, ИНН 4101117108, КПП 410101001,ОГРН 1074101004075, </t>
  </si>
  <si>
    <t xml:space="preserve"> тел. 8 (4152) 42-10-97, 42-49-01, e-mail: stolovayanewtaste@mail.ru</t>
  </si>
  <si>
    <t xml:space="preserve">
</t>
  </si>
  <si>
    <t xml:space="preserve">МЕНЮ </t>
  </si>
  <si>
    <t>Кол-во</t>
  </si>
  <si>
    <t>Макаронные изделия отварные с сыром</t>
  </si>
  <si>
    <t>150/20</t>
  </si>
  <si>
    <t>180/40</t>
  </si>
  <si>
    <t xml:space="preserve">Яйцо </t>
  </si>
  <si>
    <t>Яйцо отварное</t>
  </si>
  <si>
    <t>1 шт</t>
  </si>
  <si>
    <t>Фрукт</t>
  </si>
  <si>
    <t>Банан</t>
  </si>
  <si>
    <t>1/140</t>
  </si>
  <si>
    <t>Салат из квашенной капусты с луком и м/р</t>
  </si>
  <si>
    <t>Борщ из свежей капусты с курицей</t>
  </si>
  <si>
    <t>Рыба запеченная под овощами (минтай)</t>
  </si>
  <si>
    <t>1/100</t>
  </si>
  <si>
    <t>Гарнир</t>
  </si>
  <si>
    <t>Рис отварной</t>
  </si>
  <si>
    <t>Бифиленд</t>
  </si>
  <si>
    <t>1/130</t>
  </si>
  <si>
    <t>Печенье</t>
  </si>
  <si>
    <t>Ватрушка с повидлом</t>
  </si>
  <si>
    <t>Бухгалтер</t>
  </si>
  <si>
    <t>Гудым Д.С.</t>
  </si>
  <si>
    <t>Заведующий производством</t>
  </si>
  <si>
    <t>Катанцева Я.В.</t>
  </si>
  <si>
    <t xml:space="preserve"> ___________________________Борисенко А.А.</t>
  </si>
  <si>
    <t>Каша молочная пшеничная</t>
  </si>
  <si>
    <t>Каша молочная пшеничная с м/сл</t>
  </si>
  <si>
    <t>220/10</t>
  </si>
  <si>
    <t>масло</t>
  </si>
  <si>
    <t>Масло сливочное</t>
  </si>
  <si>
    <t>1/10</t>
  </si>
  <si>
    <t>Чай с лимоном</t>
  </si>
  <si>
    <t>сыр</t>
  </si>
  <si>
    <t>Сыр</t>
  </si>
  <si>
    <t>Салат Похудейка (Капуста свежая, капуста морская, масло растительное, кукуруза)</t>
  </si>
  <si>
    <t>Суп Овощной на курином бульоне</t>
  </si>
  <si>
    <t>Куры отварные</t>
  </si>
  <si>
    <t>Печень тушенная в соусе</t>
  </si>
  <si>
    <t>50/50</t>
  </si>
  <si>
    <t>60/60</t>
  </si>
  <si>
    <t>гарнир</t>
  </si>
  <si>
    <t>Макаронные изделия отварные</t>
  </si>
  <si>
    <t>Каша гречневая рассыпчатая</t>
  </si>
  <si>
    <t>Компот из сухофруктов</t>
  </si>
  <si>
    <t>Сок 0,2</t>
  </si>
  <si>
    <t>Булочка Домашняя</t>
  </si>
  <si>
    <t>Выпечка</t>
  </si>
  <si>
    <t>Каша молочная рисовая</t>
  </si>
  <si>
    <t>Каша молочная рисовая с м/сл</t>
  </si>
  <si>
    <t>1/20</t>
  </si>
  <si>
    <t>Салат Минутка (Свекла, зеленый горошек, огурец, масло растительное)</t>
  </si>
  <si>
    <t>Суп картофельный с паутинками</t>
  </si>
  <si>
    <t>Батончик с изюмом</t>
  </si>
  <si>
    <t>Гор.блюдо</t>
  </si>
  <si>
    <t>Омлет натуральный</t>
  </si>
  <si>
    <t>1/160</t>
  </si>
  <si>
    <t>Сосиски отварные</t>
  </si>
  <si>
    <t>Подгарнировка</t>
  </si>
  <si>
    <t>Зеленый горошек</t>
  </si>
  <si>
    <t>Салат из лобо с овощами</t>
  </si>
  <si>
    <t>Суп гречневый с курицей</t>
  </si>
  <si>
    <t>Котлета куриная</t>
  </si>
  <si>
    <t>Картофельное пюре</t>
  </si>
  <si>
    <t>Булочка Юность</t>
  </si>
  <si>
    <t>2/50</t>
  </si>
  <si>
    <t>10,8</t>
  </si>
  <si>
    <t>21,3</t>
  </si>
  <si>
    <t>1,5</t>
  </si>
  <si>
    <t>253,5</t>
  </si>
  <si>
    <t>Свекольник на курином бульоне</t>
  </si>
  <si>
    <t>Шоколадное печенье в обсыпке</t>
  </si>
  <si>
    <t>Яблоко свежее</t>
  </si>
  <si>
    <t>Салат из свежих овощей</t>
  </si>
  <si>
    <t>Каша молочная геркулесовая</t>
  </si>
  <si>
    <t>Каша молочная геркулесовая с м/сл</t>
  </si>
  <si>
    <t>Запеканка творожная с повидлом</t>
  </si>
  <si>
    <t>100/20</t>
  </si>
  <si>
    <t>120/20</t>
  </si>
  <si>
    <t>Мармелад</t>
  </si>
  <si>
    <t>1/15</t>
  </si>
  <si>
    <t>Салат Винегрет</t>
  </si>
  <si>
    <t>Суп рыбный</t>
  </si>
  <si>
    <t>Ежики куриные</t>
  </si>
  <si>
    <t>Корж молочный</t>
  </si>
  <si>
    <t>Салат из морской капусты с морковью и луком</t>
  </si>
  <si>
    <t>Суп гороховый на курином бульоне</t>
  </si>
  <si>
    <t>Гуляш мясной из говядины</t>
  </si>
  <si>
    <t>Компот из свежих ягод</t>
  </si>
  <si>
    <t>________________________Бакшина В.В.</t>
  </si>
  <si>
    <t>МЕНЮ с 7 до 11 лет</t>
  </si>
  <si>
    <t>МЕНЮ с 12 и старше</t>
  </si>
  <si>
    <t>Выход, гр</t>
  </si>
  <si>
    <t>Цена Продажная</t>
  </si>
  <si>
    <t>ЗАВТРАК</t>
  </si>
  <si>
    <t>чел</t>
  </si>
  <si>
    <t>Кофейный напиток</t>
  </si>
  <si>
    <t>ОБЕД</t>
  </si>
  <si>
    <t>31</t>
  </si>
  <si>
    <t>79</t>
  </si>
  <si>
    <t>Рассольник по-Ленинградски на курином бульоне</t>
  </si>
  <si>
    <t>Жаркое по-Домашнему с говядиной</t>
  </si>
  <si>
    <t xml:space="preserve">ПОЛДНИК  </t>
  </si>
  <si>
    <t>Булочка с изюмом</t>
  </si>
  <si>
    <t>Зав.производством</t>
  </si>
  <si>
    <t>Цена</t>
  </si>
  <si>
    <t>_____________________________________________________________</t>
  </si>
  <si>
    <t>30</t>
  </si>
  <si>
    <t>84</t>
  </si>
  <si>
    <t>32</t>
  </si>
  <si>
    <t>0</t>
  </si>
  <si>
    <t>87</t>
  </si>
  <si>
    <t>Сок</t>
  </si>
  <si>
    <t>88</t>
  </si>
  <si>
    <t>86</t>
  </si>
  <si>
    <t>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</si>
</sst>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28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8"/>
      <color theme="1"/>
      <name val="Calibri"/>
      <family val="2"/>
      <scheme val="minor"/>
    </font>
    <font>
      <sz val="28"/>
      <color theme="1"/>
      <name val="Times New Roman"/>
      <family val="1"/>
      <charset val="204"/>
    </font>
    <font>
      <sz val="22"/>
      <name val="Times New Roman"/>
      <family val="1"/>
      <charset val="204"/>
    </font>
    <font>
      <sz val="22"/>
      <color rgb="FFFF0000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2"/>
      <color theme="1"/>
      <name val="Calibri"/>
      <family val="2"/>
      <scheme val="minor"/>
    </font>
    <font>
      <b/>
      <sz val="22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6"/>
      <color theme="1"/>
      <name val="Calibri"/>
      <family val="2"/>
      <scheme val="minor"/>
    </font>
    <font>
      <sz val="26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20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26"/>
      <name val="Times New Roman"/>
      <family val="1"/>
      <charset val="204"/>
    </font>
    <font>
      <sz val="20"/>
      <name val="Calibri"/>
      <family val="2"/>
      <scheme val="minor"/>
    </font>
    <font>
      <b/>
      <i/>
      <sz val="20"/>
      <name val="Times New Roman"/>
      <family val="1"/>
      <charset val="204"/>
    </font>
    <font>
      <sz val="20"/>
      <color theme="0"/>
      <name val="Times New Roman"/>
      <family val="1"/>
      <charset val="204"/>
    </font>
    <font>
      <b/>
      <i/>
      <sz val="20"/>
      <color theme="0"/>
      <name val="Times New Roman"/>
      <family val="1"/>
      <charset val="204"/>
    </font>
    <font>
      <b/>
      <i/>
      <sz val="22"/>
      <name val="Times New Roman"/>
      <family val="1"/>
      <charset val="204"/>
    </font>
    <font>
      <b/>
      <sz val="22"/>
      <color theme="0"/>
      <name val="Times New Roman"/>
      <family val="1"/>
      <charset val="204"/>
    </font>
    <font>
      <sz val="26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color theme="0"/>
      <name val="Times New Roman"/>
      <family val="1"/>
      <charset val="204"/>
    </font>
    <font>
      <sz val="24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4"/>
      <color theme="0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28"/>
      <color theme="1"/>
      <name val="Calibri"/>
      <family val="2"/>
      <scheme val="minor"/>
    </font>
    <font>
      <b/>
      <i/>
      <sz val="22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1">
    <xf numFmtId="0" fontId="0" fillId="0" borderId="0"/>
    <xf numFmtId="0" fontId="57" fillId="0" borderId="0"/>
    <xf numFmtId="0" fontId="59" fillId="0" borderId="0"/>
    <xf numFmtId="0" fontId="58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325">
    <xf numFmtId="0" fontId="0" fillId="0" borderId="0" xfId="0"/>
    <xf numFmtId="0" fontId="61" fillId="0" borderId="0" xfId="2" applyNumberFormat="1" applyFont="1" applyFill="1" applyAlignment="1">
      <alignment horizontal="left" vertical="center"/>
    </xf>
    <xf numFmtId="0" fontId="61" fillId="0" borderId="0" xfId="2" applyNumberFormat="1" applyFont="1" applyFill="1" applyAlignment="1">
      <alignment vertical="center"/>
    </xf>
    <xf numFmtId="0" fontId="62" fillId="0" borderId="0" xfId="0" applyFont="1" applyFill="1"/>
    <xf numFmtId="0" fontId="63" fillId="0" borderId="0" xfId="0" applyFont="1"/>
    <xf numFmtId="0" fontId="61" fillId="0" borderId="0" xfId="2" applyNumberFormat="1" applyFont="1" applyFill="1" applyAlignment="1">
      <alignment horizontal="center" vertical="center"/>
    </xf>
    <xf numFmtId="164" fontId="62" fillId="0" borderId="0" xfId="0" applyNumberFormat="1" applyFont="1" applyFill="1" applyBorder="1" applyAlignment="1">
      <alignment horizontal="center" vertical="center" wrapText="1"/>
    </xf>
    <xf numFmtId="0" fontId="63" fillId="0" borderId="0" xfId="0" applyFont="1" applyFill="1"/>
    <xf numFmtId="0" fontId="64" fillId="0" borderId="0" xfId="0" applyFont="1" applyFill="1" applyAlignment="1">
      <alignment vertical="top" wrapText="1"/>
    </xf>
    <xf numFmtId="0" fontId="64" fillId="0" borderId="0" xfId="0" applyFont="1" applyFill="1" applyAlignment="1">
      <alignment horizontal="left" wrapText="1"/>
    </xf>
    <xf numFmtId="0" fontId="62" fillId="0" borderId="0" xfId="0" applyFont="1" applyFill="1" applyAlignment="1">
      <alignment vertical="center" wrapText="1"/>
    </xf>
    <xf numFmtId="0" fontId="64" fillId="0" borderId="0" xfId="0" applyFont="1" applyFill="1" applyAlignment="1">
      <alignment vertical="center" wrapText="1"/>
    </xf>
    <xf numFmtId="0" fontId="65" fillId="0" borderId="15" xfId="0" applyFont="1" applyFill="1" applyBorder="1" applyAlignment="1">
      <alignment horizontal="center"/>
    </xf>
    <xf numFmtId="0" fontId="65" fillId="0" borderId="14" xfId="0" applyFont="1" applyFill="1" applyBorder="1" applyAlignment="1">
      <alignment horizontal="center"/>
    </xf>
    <xf numFmtId="14" fontId="67" fillId="0" borderId="13" xfId="0" applyNumberFormat="1" applyFont="1" applyFill="1" applyBorder="1" applyAlignment="1" applyProtection="1">
      <alignment horizontal="center" vertical="center"/>
      <protection locked="0"/>
    </xf>
    <xf numFmtId="0" fontId="68" fillId="0" borderId="0" xfId="0" applyFont="1"/>
    <xf numFmtId="0" fontId="67" fillId="0" borderId="15" xfId="0" applyFont="1" applyFill="1" applyBorder="1" applyAlignment="1">
      <alignment horizontal="center" vertical="center"/>
    </xf>
    <xf numFmtId="0" fontId="67" fillId="0" borderId="14" xfId="0" applyFont="1" applyFill="1" applyBorder="1" applyAlignment="1">
      <alignment horizontal="center" vertical="center"/>
    </xf>
    <xf numFmtId="0" fontId="67" fillId="0" borderId="13" xfId="0" applyFont="1" applyFill="1" applyBorder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67" fillId="0" borderId="9" xfId="0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horizontal="center" vertical="center"/>
    </xf>
    <xf numFmtId="0" fontId="66" fillId="0" borderId="11" xfId="0" applyFont="1" applyFill="1" applyBorder="1" applyAlignment="1" applyProtection="1">
      <alignment horizontal="center" vertical="center"/>
      <protection locked="0"/>
    </xf>
    <xf numFmtId="0" fontId="67" fillId="0" borderId="11" xfId="3" applyFont="1" applyFill="1" applyBorder="1" applyAlignment="1">
      <alignment horizontal="center" vertical="center" wrapText="1"/>
    </xf>
    <xf numFmtId="49" fontId="67" fillId="0" borderId="11" xfId="3" applyNumberFormat="1" applyFont="1" applyFill="1" applyBorder="1" applyAlignment="1">
      <alignment horizontal="center" vertical="center" wrapText="1"/>
    </xf>
    <xf numFmtId="4" fontId="67" fillId="0" borderId="11" xfId="3" applyNumberFormat="1" applyFont="1" applyBorder="1" applyAlignment="1">
      <alignment horizontal="center" vertical="center" wrapText="1"/>
    </xf>
    <xf numFmtId="4" fontId="67" fillId="0" borderId="11" xfId="3" applyNumberFormat="1" applyFont="1" applyFill="1" applyBorder="1" applyAlignment="1">
      <alignment horizontal="center" vertical="center" wrapText="1"/>
    </xf>
    <xf numFmtId="4" fontId="67" fillId="0" borderId="10" xfId="3" applyNumberFormat="1" applyFont="1" applyBorder="1" applyAlignment="1">
      <alignment horizontal="center" vertical="center" wrapText="1"/>
    </xf>
    <xf numFmtId="0" fontId="67" fillId="0" borderId="0" xfId="0" applyFont="1" applyFill="1" applyAlignment="1">
      <alignment horizontal="center" vertical="center"/>
    </xf>
    <xf numFmtId="0" fontId="67" fillId="0" borderId="8" xfId="0" applyFont="1" applyFill="1" applyBorder="1" applyAlignment="1">
      <alignment horizontal="center" vertical="center"/>
    </xf>
    <xf numFmtId="0" fontId="67" fillId="0" borderId="7" xfId="0" applyFont="1" applyFill="1" applyBorder="1" applyAlignment="1">
      <alignment horizontal="center"/>
    </xf>
    <xf numFmtId="0" fontId="67" fillId="0" borderId="7" xfId="0" applyFont="1" applyFill="1" applyBorder="1" applyAlignment="1" applyProtection="1">
      <alignment horizontal="center"/>
      <protection locked="0"/>
    </xf>
    <xf numFmtId="0" fontId="67" fillId="0" borderId="7" xfId="3" applyFont="1" applyFill="1" applyBorder="1" applyAlignment="1">
      <alignment horizontal="center" vertical="center" wrapText="1"/>
    </xf>
    <xf numFmtId="49" fontId="67" fillId="0" borderId="7" xfId="3" applyNumberFormat="1" applyFont="1" applyFill="1" applyBorder="1" applyAlignment="1">
      <alignment horizontal="center" vertical="center" wrapText="1"/>
    </xf>
    <xf numFmtId="4" fontId="67" fillId="0" borderId="7" xfId="3" applyNumberFormat="1" applyFont="1" applyBorder="1" applyAlignment="1">
      <alignment horizontal="center" vertical="center" wrapText="1"/>
    </xf>
    <xf numFmtId="4" fontId="67" fillId="0" borderId="7" xfId="3" applyNumberFormat="1" applyFont="1" applyFill="1" applyBorder="1" applyAlignment="1">
      <alignment horizontal="center" vertical="center" wrapText="1"/>
    </xf>
    <xf numFmtId="4" fontId="67" fillId="0" borderId="6" xfId="3" applyNumberFormat="1" applyFont="1" applyBorder="1" applyAlignment="1">
      <alignment horizontal="center" vertical="center" wrapText="1"/>
    </xf>
    <xf numFmtId="0" fontId="67" fillId="0" borderId="7" xfId="0" applyFont="1" applyFill="1" applyBorder="1" applyAlignment="1">
      <alignment horizontal="center" vertical="center"/>
    </xf>
    <xf numFmtId="0" fontId="67" fillId="0" borderId="7" xfId="0" applyFont="1" applyFill="1" applyBorder="1" applyAlignment="1" applyProtection="1">
      <alignment horizontal="center" vertical="center"/>
      <protection locked="0"/>
    </xf>
    <xf numFmtId="0" fontId="67" fillId="0" borderId="16" xfId="0" applyFont="1" applyFill="1" applyBorder="1" applyAlignment="1">
      <alignment horizontal="center" vertical="center"/>
    </xf>
    <xf numFmtId="4" fontId="67" fillId="0" borderId="6" xfId="3" applyNumberFormat="1" applyFont="1" applyFill="1" applyBorder="1" applyAlignment="1">
      <alignment horizontal="center" vertical="center" wrapText="1"/>
    </xf>
    <xf numFmtId="0" fontId="67" fillId="0" borderId="5" xfId="0" applyFont="1" applyFill="1" applyBorder="1" applyAlignment="1">
      <alignment horizontal="center" vertical="center"/>
    </xf>
    <xf numFmtId="0" fontId="67" fillId="0" borderId="4" xfId="0" applyFont="1" applyFill="1" applyBorder="1" applyAlignment="1">
      <alignment horizontal="center" vertical="center"/>
    </xf>
    <xf numFmtId="0" fontId="67" fillId="0" borderId="4" xfId="0" applyFont="1" applyFill="1" applyBorder="1" applyAlignment="1" applyProtection="1">
      <alignment horizontal="center" vertical="center"/>
      <protection locked="0"/>
    </xf>
    <xf numFmtId="0" fontId="67" fillId="0" borderId="4" xfId="3" applyFont="1" applyFill="1" applyBorder="1" applyAlignment="1">
      <alignment horizontal="center" vertical="center" wrapText="1"/>
    </xf>
    <xf numFmtId="49" fontId="67" fillId="0" borderId="4" xfId="3" applyNumberFormat="1" applyFont="1" applyFill="1" applyBorder="1" applyAlignment="1">
      <alignment horizontal="center" vertical="center" wrapText="1"/>
    </xf>
    <xf numFmtId="4" fontId="67" fillId="0" borderId="4" xfId="3" applyNumberFormat="1" applyFont="1" applyBorder="1" applyAlignment="1">
      <alignment horizontal="center" vertical="center" wrapText="1"/>
    </xf>
    <xf numFmtId="4" fontId="67" fillId="0" borderId="3" xfId="3" applyNumberFormat="1" applyFont="1" applyBorder="1" applyAlignment="1">
      <alignment horizontal="center" vertical="center" wrapText="1"/>
    </xf>
    <xf numFmtId="0" fontId="67" fillId="0" borderId="25" xfId="0" applyFont="1" applyFill="1" applyBorder="1" applyAlignment="1">
      <alignment horizontal="center" vertical="center"/>
    </xf>
    <xf numFmtId="0" fontId="67" fillId="0" borderId="12" xfId="0" applyFont="1" applyFill="1" applyBorder="1" applyAlignment="1" applyProtection="1">
      <alignment horizontal="center" vertical="center" wrapText="1"/>
      <protection locked="0"/>
    </xf>
    <xf numFmtId="49" fontId="67" fillId="0" borderId="12" xfId="0" applyNumberFormat="1" applyFont="1" applyFill="1" applyBorder="1" applyAlignment="1" applyProtection="1">
      <alignment horizontal="center" vertical="center"/>
      <protection locked="0"/>
    </xf>
    <xf numFmtId="2" fontId="67" fillId="0" borderId="12" xfId="0" applyNumberFormat="1" applyFont="1" applyFill="1" applyBorder="1" applyAlignment="1" applyProtection="1">
      <alignment horizontal="center" vertical="center"/>
      <protection locked="0"/>
    </xf>
    <xf numFmtId="2" fontId="67" fillId="0" borderId="20" xfId="0" applyNumberFormat="1" applyFont="1" applyFill="1" applyBorder="1" applyAlignment="1" applyProtection="1">
      <alignment horizontal="center" vertical="center"/>
      <protection locked="0"/>
    </xf>
    <xf numFmtId="4" fontId="67" fillId="0" borderId="10" xfId="3" applyNumberFormat="1" applyFont="1" applyFill="1" applyBorder="1" applyAlignment="1">
      <alignment horizontal="center" vertical="center" wrapText="1"/>
    </xf>
    <xf numFmtId="0" fontId="67" fillId="0" borderId="24" xfId="0" applyFont="1" applyFill="1" applyBorder="1" applyAlignment="1">
      <alignment horizontal="center" vertical="center"/>
    </xf>
    <xf numFmtId="0" fontId="67" fillId="0" borderId="0" xfId="0" applyFont="1" applyFill="1" applyAlignment="1">
      <alignment vertical="center"/>
    </xf>
    <xf numFmtId="0" fontId="67" fillId="0" borderId="8" xfId="0" applyFont="1" applyFill="1" applyBorder="1" applyAlignment="1">
      <alignment horizontal="center"/>
    </xf>
    <xf numFmtId="0" fontId="67" fillId="0" borderId="16" xfId="0" applyFont="1" applyFill="1" applyBorder="1" applyAlignment="1">
      <alignment horizontal="center"/>
    </xf>
    <xf numFmtId="0" fontId="67" fillId="0" borderId="0" xfId="0" applyFont="1" applyFill="1"/>
    <xf numFmtId="0" fontId="67" fillId="0" borderId="0" xfId="0" applyFont="1" applyFill="1" applyAlignment="1">
      <alignment horizontal="center" vertical="center" wrapText="1"/>
    </xf>
    <xf numFmtId="4" fontId="67" fillId="0" borderId="4" xfId="3" applyNumberFormat="1" applyFont="1" applyFill="1" applyBorder="1" applyAlignment="1">
      <alignment horizontal="center" vertical="center" wrapText="1"/>
    </xf>
    <xf numFmtId="0" fontId="67" fillId="0" borderId="2" xfId="0" applyFont="1" applyFill="1" applyBorder="1" applyAlignment="1" applyProtection="1">
      <alignment horizontal="center" vertical="center" wrapText="1"/>
      <protection locked="0"/>
    </xf>
    <xf numFmtId="49" fontId="67" fillId="0" borderId="2" xfId="0" applyNumberFormat="1" applyFont="1" applyFill="1" applyBorder="1" applyAlignment="1" applyProtection="1">
      <alignment horizontal="center" vertical="center"/>
      <protection locked="0"/>
    </xf>
    <xf numFmtId="2" fontId="67" fillId="0" borderId="2" xfId="0" applyNumberFormat="1" applyFont="1" applyFill="1" applyBorder="1" applyAlignment="1" applyProtection="1">
      <alignment horizontal="center" vertical="center"/>
      <protection locked="0"/>
    </xf>
    <xf numFmtId="2" fontId="67" fillId="0" borderId="1" xfId="0" applyNumberFormat="1" applyFont="1" applyFill="1" applyBorder="1" applyAlignment="1" applyProtection="1">
      <alignment horizontal="center" vertical="center"/>
      <protection locked="0"/>
    </xf>
    <xf numFmtId="0" fontId="66" fillId="0" borderId="17" xfId="0" applyFont="1" applyFill="1" applyBorder="1" applyAlignment="1" applyProtection="1">
      <alignment horizontal="center"/>
      <protection locked="0"/>
    </xf>
    <xf numFmtId="0" fontId="67" fillId="0" borderId="26" xfId="0" applyFont="1" applyFill="1" applyBorder="1" applyAlignment="1" applyProtection="1">
      <alignment horizontal="center" vertical="center"/>
      <protection locked="0"/>
    </xf>
    <xf numFmtId="4" fontId="67" fillId="0" borderId="3" xfId="3" applyNumberFormat="1" applyFont="1" applyFill="1" applyBorder="1" applyAlignment="1">
      <alignment horizontal="center" vertical="center" wrapText="1"/>
    </xf>
    <xf numFmtId="0" fontId="67" fillId="0" borderId="4" xfId="0" applyFont="1" applyFill="1" applyBorder="1" applyAlignment="1">
      <alignment horizontal="center"/>
    </xf>
    <xf numFmtId="0" fontId="67" fillId="0" borderId="4" xfId="0" applyFont="1" applyFill="1" applyBorder="1" applyAlignment="1" applyProtection="1">
      <alignment horizontal="center"/>
      <protection locked="0"/>
    </xf>
    <xf numFmtId="0" fontId="65" fillId="0" borderId="0" xfId="0" applyFont="1" applyFill="1" applyAlignment="1">
      <alignment vertical="center"/>
    </xf>
    <xf numFmtId="0" fontId="68" fillId="0" borderId="0" xfId="0" applyFont="1" applyFill="1"/>
    <xf numFmtId="0" fontId="69" fillId="0" borderId="0" xfId="2" applyNumberFormat="1" applyFont="1" applyFill="1" applyAlignment="1">
      <alignment vertical="center"/>
    </xf>
    <xf numFmtId="0" fontId="65" fillId="0" borderId="0" xfId="2" applyNumberFormat="1" applyFont="1" applyFill="1" applyBorder="1" applyAlignment="1">
      <alignment horizontal="right" vertical="center"/>
    </xf>
    <xf numFmtId="0" fontId="65" fillId="0" borderId="0" xfId="2" applyNumberFormat="1" applyFont="1" applyFill="1" applyBorder="1" applyAlignment="1">
      <alignment horizontal="center" vertical="center"/>
    </xf>
    <xf numFmtId="0" fontId="65" fillId="0" borderId="0" xfId="2" applyNumberFormat="1" applyFont="1" applyFill="1" applyBorder="1" applyAlignment="1">
      <alignment horizontal="left" vertical="center"/>
    </xf>
    <xf numFmtId="4" fontId="69" fillId="0" borderId="0" xfId="2" applyNumberFormat="1" applyFont="1" applyFill="1" applyAlignment="1">
      <alignment vertical="center"/>
    </xf>
    <xf numFmtId="4" fontId="68" fillId="0" borderId="0" xfId="0" applyNumberFormat="1" applyFont="1" applyFill="1"/>
    <xf numFmtId="0" fontId="68" fillId="0" borderId="0" xfId="0" applyFont="1" applyFill="1" applyAlignment="1">
      <alignment vertical="center"/>
    </xf>
    <xf numFmtId="0" fontId="65" fillId="0" borderId="0" xfId="57" applyNumberFormat="1" applyFont="1" applyFill="1" applyBorder="1" applyAlignment="1" applyProtection="1">
      <alignment horizontal="left" vertical="center"/>
    </xf>
    <xf numFmtId="0" fontId="60" fillId="0" borderId="0" xfId="0" applyFont="1" applyFill="1"/>
    <xf numFmtId="0" fontId="62" fillId="0" borderId="0" xfId="0" applyFont="1" applyFill="1" applyAlignment="1">
      <alignment horizontal="center" vertical="center" wrapText="1"/>
    </xf>
    <xf numFmtId="0" fontId="64" fillId="0" borderId="0" xfId="0" applyFont="1" applyFill="1" applyAlignment="1">
      <alignment horizontal="left" wrapText="1"/>
    </xf>
    <xf numFmtId="0" fontId="70" fillId="0" borderId="0" xfId="2" applyNumberFormat="1" applyFont="1" applyFill="1" applyAlignment="1">
      <alignment horizontal="left" vertical="center"/>
    </xf>
    <xf numFmtId="0" fontId="70" fillId="0" borderId="0" xfId="2" applyNumberFormat="1" applyFont="1" applyFill="1" applyAlignment="1">
      <alignment vertical="center"/>
    </xf>
    <xf numFmtId="0" fontId="71" fillId="0" borderId="0" xfId="0" applyFont="1" applyFill="1"/>
    <xf numFmtId="0" fontId="70" fillId="0" borderId="0" xfId="2" applyNumberFormat="1" applyFont="1" applyFill="1" applyAlignment="1">
      <alignment horizontal="center" vertical="center"/>
    </xf>
    <xf numFmtId="164" fontId="71" fillId="0" borderId="0" xfId="0" applyNumberFormat="1" applyFont="1" applyFill="1" applyBorder="1" applyAlignment="1">
      <alignment horizontal="center" vertical="center" wrapText="1"/>
    </xf>
    <xf numFmtId="0" fontId="72" fillId="0" borderId="0" xfId="0" applyFont="1" applyFill="1"/>
    <xf numFmtId="0" fontId="60" fillId="0" borderId="0" xfId="0" applyFont="1" applyFill="1" applyAlignment="1">
      <alignment vertical="top" wrapText="1"/>
    </xf>
    <xf numFmtId="0" fontId="73" fillId="0" borderId="0" xfId="0" applyFont="1" applyFill="1" applyAlignment="1">
      <alignment horizontal="left" wrapText="1"/>
    </xf>
    <xf numFmtId="0" fontId="74" fillId="0" borderId="0" xfId="0" applyFont="1" applyFill="1" applyAlignment="1">
      <alignment vertical="center" wrapText="1"/>
    </xf>
    <xf numFmtId="0" fontId="60" fillId="0" borderId="0" xfId="0" applyFont="1" applyFill="1" applyAlignment="1">
      <alignment vertical="center" wrapText="1"/>
    </xf>
    <xf numFmtId="0" fontId="0" fillId="0" borderId="0" xfId="0" applyFill="1"/>
    <xf numFmtId="0" fontId="75" fillId="0" borderId="15" xfId="0" applyFont="1" applyFill="1" applyBorder="1" applyAlignment="1">
      <alignment horizontal="center"/>
    </xf>
    <xf numFmtId="0" fontId="75" fillId="0" borderId="14" xfId="0" applyFont="1" applyFill="1" applyBorder="1" applyAlignment="1">
      <alignment horizontal="center"/>
    </xf>
    <xf numFmtId="14" fontId="77" fillId="0" borderId="13" xfId="0" applyNumberFormat="1" applyFont="1" applyFill="1" applyBorder="1" applyAlignment="1" applyProtection="1">
      <alignment horizontal="center" vertical="center"/>
      <protection locked="0"/>
    </xf>
    <xf numFmtId="0" fontId="77" fillId="0" borderId="15" xfId="0" applyFont="1" applyFill="1" applyBorder="1" applyAlignment="1">
      <alignment horizontal="center" vertical="center"/>
    </xf>
    <xf numFmtId="0" fontId="77" fillId="0" borderId="14" xfId="0" applyFont="1" applyFill="1" applyBorder="1" applyAlignment="1">
      <alignment horizontal="center" vertical="center"/>
    </xf>
    <xf numFmtId="0" fontId="77" fillId="0" borderId="13" xfId="0" applyFont="1" applyFill="1" applyBorder="1" applyAlignment="1">
      <alignment horizontal="center" vertical="center"/>
    </xf>
    <xf numFmtId="0" fontId="78" fillId="0" borderId="0" xfId="0" applyFont="1" applyFill="1" applyAlignment="1">
      <alignment horizontal="center" vertical="center"/>
    </xf>
    <xf numFmtId="0" fontId="77" fillId="0" borderId="9" xfId="0" applyFont="1" applyFill="1" applyBorder="1" applyAlignment="1">
      <alignment horizontal="center" vertical="center"/>
    </xf>
    <xf numFmtId="0" fontId="77" fillId="0" borderId="11" xfId="0" applyFont="1" applyFill="1" applyBorder="1" applyAlignment="1">
      <alignment horizontal="center" vertical="center"/>
    </xf>
    <xf numFmtId="0" fontId="76" fillId="0" borderId="11" xfId="0" applyFont="1" applyFill="1" applyBorder="1" applyAlignment="1" applyProtection="1">
      <alignment horizontal="center" vertical="center"/>
      <protection locked="0"/>
    </xf>
    <xf numFmtId="0" fontId="77" fillId="0" borderId="11" xfId="3" applyFont="1" applyFill="1" applyBorder="1" applyAlignment="1">
      <alignment horizontal="center" vertical="center" wrapText="1"/>
    </xf>
    <xf numFmtId="49" fontId="77" fillId="0" borderId="11" xfId="3" applyNumberFormat="1" applyFont="1" applyFill="1" applyBorder="1" applyAlignment="1">
      <alignment horizontal="center" vertical="center" wrapText="1"/>
    </xf>
    <xf numFmtId="4" fontId="77" fillId="0" borderId="11" xfId="3" applyNumberFormat="1" applyFont="1" applyFill="1" applyBorder="1" applyAlignment="1">
      <alignment horizontal="center" vertical="center" wrapText="1"/>
    </xf>
    <xf numFmtId="4" fontId="77" fillId="0" borderId="30" xfId="3" applyNumberFormat="1" applyFont="1" applyFill="1" applyBorder="1" applyAlignment="1">
      <alignment horizontal="center" vertical="center" wrapText="1"/>
    </xf>
    <xf numFmtId="4" fontId="77" fillId="0" borderId="10" xfId="3" applyNumberFormat="1" applyFont="1" applyFill="1" applyBorder="1" applyAlignment="1">
      <alignment horizontal="center" vertical="center" wrapText="1"/>
    </xf>
    <xf numFmtId="0" fontId="77" fillId="0" borderId="0" xfId="0" applyFont="1" applyFill="1" applyAlignment="1">
      <alignment horizontal="center" vertical="center"/>
    </xf>
    <xf numFmtId="0" fontId="77" fillId="0" borderId="8" xfId="0" applyFont="1" applyFill="1" applyBorder="1" applyAlignment="1">
      <alignment horizontal="center" vertical="center"/>
    </xf>
    <xf numFmtId="0" fontId="77" fillId="0" borderId="7" xfId="0" applyFont="1" applyFill="1" applyBorder="1" applyAlignment="1">
      <alignment horizontal="center" vertical="center"/>
    </xf>
    <xf numFmtId="0" fontId="77" fillId="0" borderId="7" xfId="0" applyFont="1" applyFill="1" applyBorder="1" applyAlignment="1" applyProtection="1">
      <alignment horizontal="center" vertical="center"/>
      <protection locked="0"/>
    </xf>
    <xf numFmtId="0" fontId="77" fillId="0" borderId="7" xfId="3" applyFont="1" applyFill="1" applyBorder="1" applyAlignment="1">
      <alignment horizontal="center" vertical="center" wrapText="1"/>
    </xf>
    <xf numFmtId="49" fontId="77" fillId="0" borderId="7" xfId="3" applyNumberFormat="1" applyFont="1" applyFill="1" applyBorder="1" applyAlignment="1">
      <alignment horizontal="center" vertical="center" wrapText="1"/>
    </xf>
    <xf numFmtId="4" fontId="77" fillId="0" borderId="7" xfId="3" applyNumberFormat="1" applyFont="1" applyFill="1" applyBorder="1" applyAlignment="1">
      <alignment horizontal="center" vertical="center" wrapText="1"/>
    </xf>
    <xf numFmtId="4" fontId="77" fillId="0" borderId="17" xfId="3" applyNumberFormat="1" applyFont="1" applyFill="1" applyBorder="1" applyAlignment="1">
      <alignment horizontal="center" vertical="center" wrapText="1"/>
    </xf>
    <xf numFmtId="4" fontId="77" fillId="0" borderId="6" xfId="3" applyNumberFormat="1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center" vertical="center"/>
    </xf>
    <xf numFmtId="0" fontId="77" fillId="0" borderId="7" xfId="0" applyFont="1" applyFill="1" applyBorder="1" applyAlignment="1">
      <alignment horizontal="center"/>
    </xf>
    <xf numFmtId="0" fontId="77" fillId="0" borderId="7" xfId="0" applyFont="1" applyFill="1" applyBorder="1" applyAlignment="1" applyProtection="1">
      <alignment horizontal="center"/>
      <protection locked="0"/>
    </xf>
    <xf numFmtId="4" fontId="77" fillId="0" borderId="7" xfId="3" applyNumberFormat="1" applyFont="1" applyBorder="1" applyAlignment="1">
      <alignment horizontal="center" vertical="center" wrapText="1"/>
    </xf>
    <xf numFmtId="4" fontId="77" fillId="0" borderId="6" xfId="3" applyNumberFormat="1" applyFont="1" applyBorder="1" applyAlignment="1">
      <alignment horizontal="center" vertical="center" wrapText="1"/>
    </xf>
    <xf numFmtId="0" fontId="77" fillId="0" borderId="16" xfId="0" applyFont="1" applyFill="1" applyBorder="1" applyAlignment="1">
      <alignment horizontal="center" vertical="center"/>
    </xf>
    <xf numFmtId="0" fontId="77" fillId="0" borderId="5" xfId="0" applyFont="1" applyFill="1" applyBorder="1" applyAlignment="1">
      <alignment horizontal="center" vertical="center"/>
    </xf>
    <xf numFmtId="0" fontId="77" fillId="0" borderId="4" xfId="0" applyFont="1" applyFill="1" applyBorder="1" applyAlignment="1">
      <alignment horizontal="center" vertical="center"/>
    </xf>
    <xf numFmtId="0" fontId="77" fillId="0" borderId="4" xfId="0" applyFont="1" applyFill="1" applyBorder="1" applyAlignment="1" applyProtection="1">
      <alignment horizontal="center" vertical="center"/>
      <protection locked="0"/>
    </xf>
    <xf numFmtId="0" fontId="77" fillId="0" borderId="4" xfId="3" applyFont="1" applyFill="1" applyBorder="1" applyAlignment="1">
      <alignment horizontal="center" vertical="center" wrapText="1"/>
    </xf>
    <xf numFmtId="49" fontId="77" fillId="0" borderId="4" xfId="3" applyNumberFormat="1" applyFont="1" applyFill="1" applyBorder="1" applyAlignment="1">
      <alignment horizontal="center" vertical="center" wrapText="1"/>
    </xf>
    <xf numFmtId="4" fontId="77" fillId="0" borderId="4" xfId="3" applyNumberFormat="1" applyFont="1" applyBorder="1" applyAlignment="1">
      <alignment horizontal="center" vertical="center" wrapText="1"/>
    </xf>
    <xf numFmtId="4" fontId="77" fillId="0" borderId="3" xfId="3" applyNumberFormat="1" applyFont="1" applyBorder="1" applyAlignment="1">
      <alignment horizontal="center" vertical="center" wrapText="1"/>
    </xf>
    <xf numFmtId="0" fontId="77" fillId="0" borderId="25" xfId="0" applyFont="1" applyFill="1" applyBorder="1" applyAlignment="1">
      <alignment horizontal="center" vertical="center"/>
    </xf>
    <xf numFmtId="0" fontId="77" fillId="0" borderId="12" xfId="0" applyFont="1" applyFill="1" applyBorder="1" applyAlignment="1" applyProtection="1">
      <alignment horizontal="center" vertical="center" wrapText="1"/>
      <protection locked="0"/>
    </xf>
    <xf numFmtId="49" fontId="77" fillId="0" borderId="12" xfId="0" applyNumberFormat="1" applyFont="1" applyFill="1" applyBorder="1" applyAlignment="1" applyProtection="1">
      <alignment horizontal="center" vertical="center"/>
      <protection locked="0"/>
    </xf>
    <xf numFmtId="2" fontId="77" fillId="0" borderId="12" xfId="0" applyNumberFormat="1" applyFont="1" applyFill="1" applyBorder="1" applyAlignment="1" applyProtection="1">
      <alignment horizontal="center" vertical="center"/>
      <protection locked="0"/>
    </xf>
    <xf numFmtId="2" fontId="77" fillId="0" borderId="20" xfId="0" applyNumberFormat="1" applyFont="1" applyFill="1" applyBorder="1" applyAlignment="1" applyProtection="1">
      <alignment horizontal="center" vertical="center"/>
      <protection locked="0"/>
    </xf>
    <xf numFmtId="0" fontId="77" fillId="0" borderId="8" xfId="0" applyFont="1" applyFill="1" applyBorder="1" applyAlignment="1">
      <alignment horizontal="center"/>
    </xf>
    <xf numFmtId="0" fontId="60" fillId="0" borderId="0" xfId="0" applyFont="1" applyFill="1" applyAlignment="1">
      <alignment horizontal="center" vertical="center" wrapText="1"/>
    </xf>
    <xf numFmtId="0" fontId="77" fillId="0" borderId="4" xfId="0" applyFont="1" applyFill="1" applyBorder="1" applyAlignment="1">
      <alignment horizontal="center"/>
    </xf>
    <xf numFmtId="4" fontId="77" fillId="0" borderId="4" xfId="3" applyNumberFormat="1" applyFont="1" applyFill="1" applyBorder="1" applyAlignment="1">
      <alignment horizontal="center" vertical="center" wrapText="1"/>
    </xf>
    <xf numFmtId="4" fontId="77" fillId="0" borderId="3" xfId="3" applyNumberFormat="1" applyFont="1" applyFill="1" applyBorder="1" applyAlignment="1">
      <alignment horizontal="center" vertical="center" wrapText="1"/>
    </xf>
    <xf numFmtId="0" fontId="77" fillId="0" borderId="2" xfId="0" applyFont="1" applyFill="1" applyBorder="1" applyAlignment="1" applyProtection="1">
      <alignment horizontal="center" vertical="center" wrapText="1"/>
      <protection locked="0"/>
    </xf>
    <xf numFmtId="49" fontId="77" fillId="0" borderId="2" xfId="0" applyNumberFormat="1" applyFont="1" applyFill="1" applyBorder="1" applyAlignment="1" applyProtection="1">
      <alignment horizontal="center" vertical="center"/>
      <protection locked="0"/>
    </xf>
    <xf numFmtId="2" fontId="77" fillId="0" borderId="2" xfId="0" applyNumberFormat="1" applyFont="1" applyFill="1" applyBorder="1" applyAlignment="1" applyProtection="1">
      <alignment horizontal="center" vertical="center"/>
      <protection locked="0"/>
    </xf>
    <xf numFmtId="2" fontId="77" fillId="0" borderId="1" xfId="0" applyNumberFormat="1" applyFont="1" applyFill="1" applyBorder="1" applyAlignment="1" applyProtection="1">
      <alignment horizontal="center" vertical="center"/>
      <protection locked="0"/>
    </xf>
    <xf numFmtId="0" fontId="76" fillId="0" borderId="17" xfId="0" applyFont="1" applyFill="1" applyBorder="1" applyAlignment="1" applyProtection="1">
      <alignment horizontal="center"/>
      <protection locked="0"/>
    </xf>
    <xf numFmtId="0" fontId="77" fillId="0" borderId="26" xfId="0" applyFont="1" applyFill="1" applyBorder="1" applyAlignment="1" applyProtection="1">
      <alignment horizontal="center" vertical="center"/>
      <protection locked="0"/>
    </xf>
    <xf numFmtId="0" fontId="79" fillId="0" borderId="0" xfId="0" applyFont="1" applyFill="1" applyAlignment="1">
      <alignment horizontal="center" vertical="center"/>
    </xf>
    <xf numFmtId="0" fontId="80" fillId="0" borderId="0" xfId="0" applyFont="1" applyFill="1" applyAlignment="1">
      <alignment vertical="center"/>
    </xf>
    <xf numFmtId="0" fontId="73" fillId="0" borderId="0" xfId="0" applyFont="1" applyFill="1" applyAlignment="1">
      <alignment vertical="center"/>
    </xf>
    <xf numFmtId="0" fontId="73" fillId="0" borderId="0" xfId="0" applyFont="1" applyFill="1"/>
    <xf numFmtId="0" fontId="80" fillId="0" borderId="0" xfId="2" applyNumberFormat="1" applyFont="1" applyFill="1" applyBorder="1" applyAlignment="1">
      <alignment horizontal="right" vertical="center"/>
    </xf>
    <xf numFmtId="0" fontId="80" fillId="0" borderId="0" xfId="2" applyNumberFormat="1" applyFont="1" applyFill="1" applyBorder="1" applyAlignment="1">
      <alignment horizontal="center" vertical="center"/>
    </xf>
    <xf numFmtId="0" fontId="80" fillId="0" borderId="0" xfId="2" applyNumberFormat="1" applyFont="1" applyFill="1" applyBorder="1" applyAlignment="1">
      <alignment horizontal="left" vertical="center"/>
    </xf>
    <xf numFmtId="4" fontId="70" fillId="0" borderId="0" xfId="2" applyNumberFormat="1" applyFont="1" applyFill="1" applyAlignment="1">
      <alignment vertical="center"/>
    </xf>
    <xf numFmtId="0" fontId="73" fillId="0" borderId="0" xfId="0" applyFont="1" applyFill="1" applyAlignment="1">
      <alignment horizontal="center" vertical="center"/>
    </xf>
    <xf numFmtId="4" fontId="72" fillId="0" borderId="0" xfId="0" applyNumberFormat="1" applyFont="1" applyFill="1"/>
    <xf numFmtId="0" fontId="72" fillId="0" borderId="0" xfId="0" applyFont="1" applyFill="1" applyAlignment="1">
      <alignment vertical="center"/>
    </xf>
    <xf numFmtId="0" fontId="80" fillId="0" borderId="0" xfId="58" applyNumberFormat="1" applyFont="1" applyFill="1" applyBorder="1" applyAlignment="1" applyProtection="1">
      <alignment horizontal="left" vertical="center"/>
    </xf>
    <xf numFmtId="0" fontId="75" fillId="0" borderId="0" xfId="58" applyNumberFormat="1" applyFont="1" applyFill="1" applyBorder="1" applyAlignment="1" applyProtection="1">
      <alignment vertical="center"/>
    </xf>
    <xf numFmtId="2" fontId="82" fillId="0" borderId="0" xfId="58" applyNumberFormat="1" applyFont="1" applyFill="1" applyBorder="1" applyAlignment="1" applyProtection="1">
      <alignment horizontal="center"/>
    </xf>
    <xf numFmtId="0" fontId="75" fillId="0" borderId="0" xfId="58" applyNumberFormat="1" applyFont="1" applyFill="1" applyBorder="1" applyAlignment="1" applyProtection="1"/>
    <xf numFmtId="0" fontId="81" fillId="0" borderId="0" xfId="0" applyFont="1"/>
    <xf numFmtId="0" fontId="75" fillId="0" borderId="0" xfId="58" applyNumberFormat="1" applyFont="1" applyFill="1" applyAlignment="1" applyProtection="1">
      <alignment vertical="center"/>
    </xf>
    <xf numFmtId="0" fontId="75" fillId="0" borderId="0" xfId="58" applyNumberFormat="1" applyFont="1" applyFill="1" applyAlignment="1" applyProtection="1">
      <alignment horizontal="right" vertical="center"/>
    </xf>
    <xf numFmtId="0" fontId="83" fillId="0" borderId="0" xfId="58" applyNumberFormat="1" applyFont="1" applyFill="1" applyAlignment="1" applyProtection="1">
      <alignment vertical="center"/>
    </xf>
    <xf numFmtId="2" fontId="84" fillId="0" borderId="0" xfId="58" applyNumberFormat="1" applyFont="1" applyFill="1" applyBorder="1" applyAlignment="1" applyProtection="1">
      <alignment horizontal="center"/>
    </xf>
    <xf numFmtId="0" fontId="75" fillId="0" borderId="0" xfId="0" applyFont="1" applyFill="1" applyBorder="1"/>
    <xf numFmtId="0" fontId="75" fillId="0" borderId="0" xfId="58" applyNumberFormat="1" applyFont="1" applyFill="1" applyBorder="1" applyAlignment="1" applyProtection="1">
      <alignment horizontal="right" vertical="center"/>
    </xf>
    <xf numFmtId="0" fontId="81" fillId="0" borderId="0" xfId="0" applyFont="1" applyBorder="1"/>
    <xf numFmtId="0" fontId="77" fillId="0" borderId="11" xfId="0" applyFont="1" applyFill="1" applyBorder="1" applyAlignment="1">
      <alignment horizontal="center"/>
    </xf>
    <xf numFmtId="0" fontId="76" fillId="0" borderId="11" xfId="0" applyFont="1" applyFill="1" applyBorder="1" applyAlignment="1" applyProtection="1">
      <alignment horizontal="center"/>
      <protection locked="0"/>
    </xf>
    <xf numFmtId="0" fontId="67" fillId="0" borderId="11" xfId="0" applyFont="1" applyFill="1" applyBorder="1" applyAlignment="1">
      <alignment horizontal="center"/>
    </xf>
    <xf numFmtId="0" fontId="66" fillId="0" borderId="11" xfId="0" applyFont="1" applyFill="1" applyBorder="1" applyAlignment="1" applyProtection="1">
      <alignment horizontal="center"/>
      <protection locked="0"/>
    </xf>
    <xf numFmtId="4" fontId="67" fillId="0" borderId="14" xfId="3" applyNumberFormat="1" applyFont="1" applyFill="1" applyBorder="1" applyAlignment="1">
      <alignment horizontal="center" vertical="center" wrapText="1"/>
    </xf>
    <xf numFmtId="4" fontId="67" fillId="0" borderId="13" xfId="3" applyNumberFormat="1" applyFont="1" applyFill="1" applyBorder="1" applyAlignment="1">
      <alignment horizontal="center" vertical="center" wrapText="1"/>
    </xf>
    <xf numFmtId="0" fontId="67" fillId="0" borderId="31" xfId="0" applyFont="1" applyFill="1" applyBorder="1" applyAlignment="1">
      <alignment horizontal="center"/>
    </xf>
    <xf numFmtId="0" fontId="67" fillId="0" borderId="31" xfId="0" applyFont="1" applyFill="1" applyBorder="1" applyAlignment="1" applyProtection="1">
      <alignment horizontal="center"/>
      <protection locked="0"/>
    </xf>
    <xf numFmtId="0" fontId="67" fillId="0" borderId="31" xfId="3" applyFont="1" applyFill="1" applyBorder="1" applyAlignment="1">
      <alignment horizontal="center" vertical="center" wrapText="1"/>
    </xf>
    <xf numFmtId="49" fontId="67" fillId="0" borderId="31" xfId="3" applyNumberFormat="1" applyFont="1" applyFill="1" applyBorder="1" applyAlignment="1">
      <alignment horizontal="center" vertical="center" wrapText="1"/>
    </xf>
    <xf numFmtId="0" fontId="65" fillId="0" borderId="0" xfId="58" applyNumberFormat="1" applyFont="1" applyFill="1" applyBorder="1" applyAlignment="1" applyProtection="1">
      <alignment horizontal="left" vertical="center"/>
    </xf>
    <xf numFmtId="0" fontId="74" fillId="0" borderId="0" xfId="0" applyFont="1" applyFill="1" applyAlignment="1">
      <alignment horizontal="center" vertical="center" wrapText="1"/>
    </xf>
    <xf numFmtId="0" fontId="72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 wrapText="1"/>
    </xf>
    <xf numFmtId="0" fontId="73" fillId="0" borderId="0" xfId="0" applyFont="1" applyAlignment="1">
      <alignment horizontal="center" vertical="center" wrapText="1"/>
    </xf>
    <xf numFmtId="0" fontId="74" fillId="0" borderId="0" xfId="0" applyFont="1" applyAlignment="1">
      <alignment horizontal="center" vertical="center" wrapText="1"/>
    </xf>
    <xf numFmtId="0" fontId="69" fillId="0" borderId="0" xfId="2" applyNumberFormat="1" applyFont="1" applyFill="1" applyAlignment="1">
      <alignment horizontal="left" vertical="center"/>
    </xf>
    <xf numFmtId="0" fontId="69" fillId="0" borderId="0" xfId="2" applyNumberFormat="1" applyFont="1" applyFill="1" applyBorder="1" applyAlignment="1">
      <alignment horizontal="left" vertical="center"/>
    </xf>
    <xf numFmtId="0" fontId="85" fillId="0" borderId="0" xfId="59" applyNumberFormat="1" applyFont="1" applyFill="1" applyBorder="1" applyAlignment="1" applyProtection="1">
      <alignment horizontal="left" vertical="center"/>
    </xf>
    <xf numFmtId="0" fontId="69" fillId="0" borderId="19" xfId="2" applyNumberFormat="1" applyFont="1" applyFill="1" applyBorder="1" applyAlignment="1">
      <alignment horizontal="left" vertical="center"/>
    </xf>
    <xf numFmtId="0" fontId="69" fillId="0" borderId="23" xfId="2" applyNumberFormat="1" applyFont="1" applyFill="1" applyBorder="1" applyAlignment="1">
      <alignment vertical="center" wrapText="1"/>
    </xf>
    <xf numFmtId="0" fontId="69" fillId="0" borderId="22" xfId="2" applyNumberFormat="1" applyFont="1" applyBorder="1" applyAlignment="1">
      <alignment vertical="center" wrapText="1"/>
    </xf>
    <xf numFmtId="0" fontId="69" fillId="0" borderId="22" xfId="2" applyNumberFormat="1" applyFont="1" applyBorder="1" applyAlignment="1">
      <alignment horizontal="center" vertical="center" wrapText="1"/>
    </xf>
    <xf numFmtId="4" fontId="86" fillId="0" borderId="22" xfId="2" applyNumberFormat="1" applyFont="1" applyFill="1" applyBorder="1" applyAlignment="1">
      <alignment horizontal="center" vertical="center" wrapText="1"/>
    </xf>
    <xf numFmtId="14" fontId="87" fillId="0" borderId="32" xfId="0" applyNumberFormat="1" applyFont="1" applyFill="1" applyBorder="1" applyAlignment="1" applyProtection="1">
      <alignment horizontal="center" vertical="center"/>
      <protection locked="0"/>
    </xf>
    <xf numFmtId="0" fontId="69" fillId="0" borderId="23" xfId="2" applyNumberFormat="1" applyFont="1" applyBorder="1" applyAlignment="1">
      <alignment vertical="center" wrapText="1"/>
    </xf>
    <xf numFmtId="14" fontId="73" fillId="0" borderId="32" xfId="0" applyNumberFormat="1" applyFont="1" applyFill="1" applyBorder="1" applyAlignment="1" applyProtection="1">
      <alignment horizontal="center" vertical="center"/>
      <protection locked="0"/>
    </xf>
    <xf numFmtId="0" fontId="75" fillId="0" borderId="21" xfId="2" applyNumberFormat="1" applyFont="1" applyFill="1" applyBorder="1" applyAlignment="1">
      <alignment vertical="center"/>
    </xf>
    <xf numFmtId="0" fontId="88" fillId="0" borderId="0" xfId="2" applyNumberFormat="1" applyFont="1" applyBorder="1" applyAlignment="1">
      <alignment horizontal="center" vertical="center"/>
    </xf>
    <xf numFmtId="0" fontId="88" fillId="0" borderId="0" xfId="2" applyNumberFormat="1" applyFont="1" applyBorder="1" applyAlignment="1">
      <alignment horizontal="left" vertical="center"/>
    </xf>
    <xf numFmtId="2" fontId="89" fillId="0" borderId="0" xfId="2" applyNumberFormat="1" applyFont="1" applyFill="1" applyBorder="1" applyAlignment="1">
      <alignment horizontal="center" vertical="center"/>
    </xf>
    <xf numFmtId="4" fontId="75" fillId="0" borderId="33" xfId="2" applyNumberFormat="1" applyFont="1" applyFill="1" applyBorder="1" applyAlignment="1">
      <alignment vertical="center"/>
    </xf>
    <xf numFmtId="0" fontId="75" fillId="0" borderId="34" xfId="2" applyNumberFormat="1" applyFont="1" applyBorder="1" applyAlignment="1">
      <alignment vertical="center"/>
    </xf>
    <xf numFmtId="0" fontId="88" fillId="0" borderId="35" xfId="2" applyNumberFormat="1" applyFont="1" applyBorder="1" applyAlignment="1">
      <alignment horizontal="center" vertical="center"/>
    </xf>
    <xf numFmtId="0" fontId="88" fillId="0" borderId="35" xfId="2" applyNumberFormat="1" applyFont="1" applyBorder="1" applyAlignment="1">
      <alignment horizontal="left" vertical="center"/>
    </xf>
    <xf numFmtId="2" fontId="89" fillId="0" borderId="35" xfId="2" applyNumberFormat="1" applyFont="1" applyFill="1" applyBorder="1" applyAlignment="1">
      <alignment horizontal="center" vertical="center"/>
    </xf>
    <xf numFmtId="4" fontId="75" fillId="0" borderId="36" xfId="2" applyNumberFormat="1" applyFont="1" applyFill="1" applyBorder="1" applyAlignment="1">
      <alignment vertical="center"/>
    </xf>
    <xf numFmtId="0" fontId="90" fillId="0" borderId="21" xfId="2" applyNumberFormat="1" applyFont="1" applyFill="1" applyBorder="1" applyAlignment="1">
      <alignment horizontal="center" vertical="center"/>
    </xf>
    <xf numFmtId="0" fontId="91" fillId="0" borderId="0" xfId="2" applyNumberFormat="1" applyFont="1" applyBorder="1" applyAlignment="1">
      <alignment horizontal="center" vertical="center"/>
    </xf>
    <xf numFmtId="0" fontId="91" fillId="0" borderId="0" xfId="2" applyNumberFormat="1" applyFont="1" applyBorder="1" applyAlignment="1">
      <alignment horizontal="left" vertical="center"/>
    </xf>
    <xf numFmtId="2" fontId="92" fillId="0" borderId="0" xfId="2" applyNumberFormat="1" applyFont="1" applyFill="1" applyBorder="1" applyAlignment="1">
      <alignment horizontal="center" vertical="center"/>
    </xf>
    <xf numFmtId="4" fontId="91" fillId="0" borderId="33" xfId="2" applyNumberFormat="1" applyFont="1" applyFill="1" applyBorder="1" applyAlignment="1">
      <alignment horizontal="center" vertical="center"/>
    </xf>
    <xf numFmtId="0" fontId="90" fillId="0" borderId="21" xfId="2" applyNumberFormat="1" applyFont="1" applyBorder="1" applyAlignment="1">
      <alignment horizontal="center" vertical="center"/>
    </xf>
    <xf numFmtId="0" fontId="91" fillId="0" borderId="21" xfId="2" applyNumberFormat="1" applyFont="1" applyBorder="1" applyAlignment="1">
      <alignment horizontal="center" vertical="center"/>
    </xf>
    <xf numFmtId="2" fontId="93" fillId="0" borderId="0" xfId="2" applyNumberFormat="1" applyFont="1" applyFill="1" applyBorder="1" applyAlignment="1">
      <alignment horizontal="left" vertical="center"/>
    </xf>
    <xf numFmtId="2" fontId="93" fillId="0" borderId="0" xfId="2" applyNumberFormat="1" applyFont="1" applyFill="1" applyBorder="1" applyAlignment="1">
      <alignment horizontal="center" vertical="center"/>
    </xf>
    <xf numFmtId="0" fontId="91" fillId="0" borderId="33" xfId="2" applyNumberFormat="1" applyFont="1" applyFill="1" applyBorder="1" applyAlignment="1">
      <alignment horizontal="center" vertical="center"/>
    </xf>
    <xf numFmtId="2" fontId="93" fillId="0" borderId="33" xfId="2" applyNumberFormat="1" applyFont="1" applyFill="1" applyBorder="1" applyAlignment="1">
      <alignment horizontal="left" vertical="center"/>
    </xf>
    <xf numFmtId="0" fontId="92" fillId="0" borderId="33" xfId="2" applyNumberFormat="1" applyFont="1" applyFill="1" applyBorder="1" applyAlignment="1">
      <alignment horizontal="center" vertical="center"/>
    </xf>
    <xf numFmtId="4" fontId="92" fillId="0" borderId="33" xfId="2" applyNumberFormat="1" applyFont="1" applyFill="1" applyBorder="1" applyAlignment="1">
      <alignment horizontal="center" vertical="center"/>
    </xf>
    <xf numFmtId="0" fontId="91" fillId="0" borderId="0" xfId="2" applyFont="1" applyBorder="1" applyAlignment="1">
      <alignment horizontal="right" vertical="center"/>
    </xf>
    <xf numFmtId="0" fontId="90" fillId="0" borderId="0" xfId="2" applyNumberFormat="1" applyFont="1" applyFill="1" applyBorder="1" applyAlignment="1">
      <alignment horizontal="center" vertical="center"/>
    </xf>
    <xf numFmtId="0" fontId="90" fillId="0" borderId="0" xfId="2" applyNumberFormat="1" applyFont="1" applyBorder="1" applyAlignment="1">
      <alignment horizontal="center" vertical="center"/>
    </xf>
    <xf numFmtId="2" fontId="92" fillId="0" borderId="33" xfId="2" applyNumberFormat="1" applyFont="1" applyFill="1" applyBorder="1" applyAlignment="1">
      <alignment horizontal="center" vertical="center"/>
    </xf>
    <xf numFmtId="0" fontId="90" fillId="0" borderId="0" xfId="59" applyNumberFormat="1" applyFont="1" applyBorder="1" applyAlignment="1" applyProtection="1">
      <alignment vertical="center"/>
    </xf>
    <xf numFmtId="49" fontId="90" fillId="0" borderId="0" xfId="59" applyNumberFormat="1" applyFont="1" applyBorder="1" applyAlignment="1" applyProtection="1">
      <alignment vertical="center"/>
    </xf>
    <xf numFmtId="2" fontId="93" fillId="0" borderId="21" xfId="2" applyNumberFormat="1" applyFont="1" applyFill="1" applyBorder="1" applyAlignment="1">
      <alignment horizontal="center" vertical="center"/>
    </xf>
    <xf numFmtId="0" fontId="90" fillId="0" borderId="0" xfId="59" applyNumberFormat="1" applyFont="1" applyFill="1" applyBorder="1" applyAlignment="1" applyProtection="1">
      <alignment vertical="center"/>
    </xf>
    <xf numFmtId="4" fontId="94" fillId="0" borderId="33" xfId="2" applyNumberFormat="1" applyFont="1" applyFill="1" applyBorder="1" applyAlignment="1">
      <alignment horizontal="center" vertical="center"/>
    </xf>
    <xf numFmtId="0" fontId="91" fillId="0" borderId="0" xfId="2" applyNumberFormat="1" applyFont="1" applyFill="1" applyBorder="1" applyAlignment="1">
      <alignment horizontal="center" vertical="center"/>
    </xf>
    <xf numFmtId="49" fontId="91" fillId="0" borderId="0" xfId="2" applyNumberFormat="1" applyFont="1" applyBorder="1" applyAlignment="1">
      <alignment horizontal="center" vertical="center"/>
    </xf>
    <xf numFmtId="0" fontId="91" fillId="0" borderId="0" xfId="2" applyNumberFormat="1" applyFont="1" applyFill="1" applyBorder="1" applyAlignment="1">
      <alignment horizontal="left" vertical="center"/>
    </xf>
    <xf numFmtId="0" fontId="92" fillId="0" borderId="33" xfId="2" applyNumberFormat="1" applyFont="1" applyFill="1" applyBorder="1" applyAlignment="1">
      <alignment horizontal="center" vertical="center" wrapText="1"/>
    </xf>
    <xf numFmtId="0" fontId="90" fillId="0" borderId="0" xfId="2" applyFont="1" applyFill="1" applyBorder="1" applyAlignment="1">
      <alignment vertical="center"/>
    </xf>
    <xf numFmtId="49" fontId="90" fillId="0" borderId="0" xfId="2" applyNumberFormat="1" applyFont="1" applyFill="1" applyBorder="1" applyAlignment="1">
      <alignment horizontal="center" vertical="center"/>
    </xf>
    <xf numFmtId="0" fontId="91" fillId="0" borderId="0" xfId="2" applyFont="1" applyFill="1" applyBorder="1" applyAlignment="1">
      <alignment horizontal="right" vertical="center"/>
    </xf>
    <xf numFmtId="49" fontId="90" fillId="0" borderId="0" xfId="2" applyNumberFormat="1" applyFont="1" applyBorder="1" applyAlignment="1">
      <alignment horizontal="center" vertical="center"/>
    </xf>
    <xf numFmtId="49" fontId="91" fillId="0" borderId="0" xfId="2" applyNumberFormat="1" applyFont="1" applyBorder="1" applyAlignment="1">
      <alignment horizontal="left" vertical="center"/>
    </xf>
    <xf numFmtId="0" fontId="94" fillId="0" borderId="33" xfId="2" applyNumberFormat="1" applyFont="1" applyFill="1" applyBorder="1" applyAlignment="1">
      <alignment horizontal="center" vertical="center"/>
    </xf>
    <xf numFmtId="49" fontId="93" fillId="0" borderId="0" xfId="2" applyNumberFormat="1" applyFont="1" applyFill="1" applyBorder="1" applyAlignment="1">
      <alignment horizontal="center" vertical="center"/>
    </xf>
    <xf numFmtId="0" fontId="65" fillId="0" borderId="21" xfId="2" applyNumberFormat="1" applyFont="1" applyFill="1" applyBorder="1" applyAlignment="1">
      <alignment horizontal="center" vertical="center"/>
    </xf>
    <xf numFmtId="4" fontId="86" fillId="0" borderId="33" xfId="2" applyNumberFormat="1" applyFont="1" applyFill="1" applyBorder="1" applyAlignment="1">
      <alignment horizontal="center" vertical="center"/>
    </xf>
    <xf numFmtId="0" fontId="65" fillId="0" borderId="0" xfId="59" applyNumberFormat="1" applyFont="1" applyBorder="1" applyAlignment="1" applyProtection="1">
      <alignment vertical="center"/>
    </xf>
    <xf numFmtId="2" fontId="86" fillId="0" borderId="0" xfId="2" applyNumberFormat="1" applyFont="1" applyFill="1" applyBorder="1" applyAlignment="1">
      <alignment horizontal="center" vertical="center"/>
    </xf>
    <xf numFmtId="0" fontId="65" fillId="0" borderId="21" xfId="2" applyNumberFormat="1" applyFont="1" applyBorder="1" applyAlignment="1">
      <alignment horizontal="center" vertical="center"/>
    </xf>
    <xf numFmtId="2" fontId="69" fillId="0" borderId="0" xfId="2" applyNumberFormat="1" applyFont="1" applyFill="1" applyBorder="1" applyAlignment="1">
      <alignment horizontal="center" vertical="center"/>
    </xf>
    <xf numFmtId="0" fontId="75" fillId="0" borderId="21" xfId="2" applyNumberFormat="1" applyFont="1" applyFill="1" applyBorder="1" applyAlignment="1">
      <alignment horizontal="center" vertical="center"/>
    </xf>
    <xf numFmtId="0" fontId="75" fillId="0" borderId="0" xfId="59" applyNumberFormat="1" applyFont="1" applyBorder="1" applyAlignment="1" applyProtection="1">
      <alignment vertical="center"/>
    </xf>
    <xf numFmtId="49" fontId="75" fillId="0" borderId="0" xfId="59" applyNumberFormat="1" applyFont="1" applyBorder="1" applyAlignment="1" applyProtection="1">
      <alignment vertical="center"/>
    </xf>
    <xf numFmtId="2" fontId="88" fillId="0" borderId="0" xfId="2" applyNumberFormat="1" applyFont="1" applyFill="1" applyBorder="1" applyAlignment="1">
      <alignment horizontal="center" vertical="center"/>
    </xf>
    <xf numFmtId="4" fontId="75" fillId="0" borderId="33" xfId="2" applyNumberFormat="1" applyFont="1" applyFill="1" applyBorder="1" applyAlignment="1">
      <alignment horizontal="center" vertical="center"/>
    </xf>
    <xf numFmtId="0" fontId="75" fillId="0" borderId="21" xfId="2" applyNumberFormat="1" applyFont="1" applyBorder="1" applyAlignment="1">
      <alignment horizontal="center" vertical="center"/>
    </xf>
    <xf numFmtId="0" fontId="90" fillId="0" borderId="0" xfId="2" applyNumberFormat="1" applyFont="1" applyBorder="1" applyAlignment="1">
      <alignment horizontal="right" vertical="center"/>
    </xf>
    <xf numFmtId="0" fontId="90" fillId="0" borderId="0" xfId="2" applyNumberFormat="1" applyFont="1" applyBorder="1" applyAlignment="1">
      <alignment vertical="center"/>
    </xf>
    <xf numFmtId="2" fontId="91" fillId="0" borderId="0" xfId="2" applyNumberFormat="1" applyFont="1" applyFill="1" applyBorder="1" applyAlignment="1">
      <alignment horizontal="center" vertical="center"/>
    </xf>
    <xf numFmtId="0" fontId="90" fillId="0" borderId="18" xfId="2" applyNumberFormat="1" applyFont="1" applyFill="1" applyBorder="1" applyAlignment="1">
      <alignment horizontal="center" vertical="center"/>
    </xf>
    <xf numFmtId="0" fontId="90" fillId="0" borderId="19" xfId="2" applyNumberFormat="1" applyFont="1" applyFill="1" applyBorder="1" applyAlignment="1">
      <alignment horizontal="right" vertical="center"/>
    </xf>
    <xf numFmtId="0" fontId="90" fillId="0" borderId="19" xfId="2" applyNumberFormat="1" applyFont="1" applyFill="1" applyBorder="1" applyAlignment="1">
      <alignment horizontal="center" vertical="center"/>
    </xf>
    <xf numFmtId="0" fontId="90" fillId="0" borderId="19" xfId="2" applyNumberFormat="1" applyFont="1" applyBorder="1" applyAlignment="1">
      <alignment vertical="center"/>
    </xf>
    <xf numFmtId="2" fontId="91" fillId="0" borderId="19" xfId="2" applyNumberFormat="1" applyFont="1" applyFill="1" applyBorder="1" applyAlignment="1">
      <alignment horizontal="center" vertical="center"/>
    </xf>
    <xf numFmtId="4" fontId="91" fillId="0" borderId="37" xfId="2" applyNumberFormat="1" applyFont="1" applyFill="1" applyBorder="1" applyAlignment="1">
      <alignment horizontal="center" vertical="center"/>
    </xf>
    <xf numFmtId="0" fontId="90" fillId="0" borderId="19" xfId="59" applyNumberFormat="1" applyFont="1" applyFill="1" applyBorder="1" applyAlignment="1" applyProtection="1">
      <alignment vertical="center"/>
    </xf>
    <xf numFmtId="0" fontId="95" fillId="0" borderId="0" xfId="59" applyNumberFormat="1" applyFont="1" applyFill="1" applyAlignment="1" applyProtection="1">
      <alignment vertical="center"/>
    </xf>
    <xf numFmtId="0" fontId="95" fillId="0" borderId="0" xfId="59" applyNumberFormat="1" applyFont="1" applyAlignment="1" applyProtection="1">
      <alignment vertical="center"/>
    </xf>
    <xf numFmtId="0" fontId="96" fillId="0" borderId="0" xfId="59" applyNumberFormat="1" applyFont="1" applyFill="1" applyAlignment="1" applyProtection="1">
      <alignment vertical="center"/>
    </xf>
    <xf numFmtId="0" fontId="96" fillId="0" borderId="0" xfId="59" applyNumberFormat="1" applyFont="1" applyAlignment="1" applyProtection="1">
      <alignment vertical="center"/>
    </xf>
    <xf numFmtId="0" fontId="97" fillId="0" borderId="0" xfId="0" applyFont="1" applyFill="1"/>
    <xf numFmtId="4" fontId="98" fillId="0" borderId="11" xfId="3" applyNumberFormat="1" applyFont="1" applyFill="1" applyBorder="1" applyAlignment="1">
      <alignment horizontal="center" vertical="center" wrapText="1"/>
    </xf>
    <xf numFmtId="4" fontId="67" fillId="0" borderId="30" xfId="3" applyNumberFormat="1" applyFont="1" applyFill="1" applyBorder="1" applyAlignment="1">
      <alignment horizontal="center" vertical="center" wrapText="1"/>
    </xf>
    <xf numFmtId="4" fontId="98" fillId="0" borderId="7" xfId="3" applyNumberFormat="1" applyFont="1" applyFill="1" applyBorder="1" applyAlignment="1">
      <alignment horizontal="center" vertical="center" wrapText="1"/>
    </xf>
    <xf numFmtId="4" fontId="67" fillId="0" borderId="17" xfId="3" applyNumberFormat="1" applyFont="1" applyFill="1" applyBorder="1" applyAlignment="1">
      <alignment horizontal="center" vertical="center" wrapText="1"/>
    </xf>
    <xf numFmtId="4" fontId="67" fillId="0" borderId="17" xfId="3" applyNumberFormat="1" applyFont="1" applyBorder="1" applyAlignment="1">
      <alignment horizontal="center" vertical="center" wrapText="1"/>
    </xf>
    <xf numFmtId="4" fontId="98" fillId="0" borderId="4" xfId="3" applyNumberFormat="1" applyFont="1" applyFill="1" applyBorder="1" applyAlignment="1">
      <alignment horizontal="center" vertical="center" wrapText="1"/>
    </xf>
    <xf numFmtId="4" fontId="67" fillId="0" borderId="26" xfId="3" applyNumberFormat="1" applyFont="1" applyBorder="1" applyAlignment="1">
      <alignment horizontal="center" vertical="center" wrapText="1"/>
    </xf>
    <xf numFmtId="4" fontId="98" fillId="0" borderId="12" xfId="3" applyNumberFormat="1" applyFont="1" applyFill="1" applyBorder="1" applyAlignment="1">
      <alignment horizontal="center" vertical="center" wrapText="1"/>
    </xf>
    <xf numFmtId="4" fontId="98" fillId="0" borderId="2" xfId="3" applyNumberFormat="1" applyFont="1" applyFill="1" applyBorder="1" applyAlignment="1">
      <alignment horizontal="center" vertical="center" wrapText="1"/>
    </xf>
    <xf numFmtId="0" fontId="67" fillId="0" borderId="11" xfId="0" applyFont="1" applyFill="1" applyBorder="1" applyAlignment="1" applyProtection="1">
      <alignment horizontal="center"/>
      <protection locked="0"/>
    </xf>
    <xf numFmtId="0" fontId="66" fillId="0" borderId="30" xfId="0" applyFont="1" applyFill="1" applyBorder="1" applyAlignment="1" applyProtection="1">
      <alignment horizontal="center"/>
      <protection locked="0"/>
    </xf>
    <xf numFmtId="0" fontId="99" fillId="0" borderId="0" xfId="0" applyFont="1" applyFill="1"/>
    <xf numFmtId="0" fontId="100" fillId="0" borderId="0" xfId="0" applyFont="1" applyFill="1"/>
    <xf numFmtId="0" fontId="91" fillId="0" borderId="0" xfId="2" applyNumberFormat="1" applyFont="1" applyFill="1" applyAlignment="1">
      <alignment vertical="center"/>
    </xf>
    <xf numFmtId="0" fontId="90" fillId="0" borderId="0" xfId="2" applyNumberFormat="1" applyFont="1" applyFill="1" applyBorder="1" applyAlignment="1">
      <alignment horizontal="right" vertical="center"/>
    </xf>
    <xf numFmtId="0" fontId="90" fillId="0" borderId="0" xfId="2" applyNumberFormat="1" applyFont="1" applyFill="1" applyBorder="1" applyAlignment="1">
      <alignment horizontal="left" vertical="center"/>
    </xf>
    <xf numFmtId="4" fontId="91" fillId="0" borderId="0" xfId="2" applyNumberFormat="1" applyFont="1" applyFill="1" applyAlignment="1">
      <alignment vertical="center"/>
    </xf>
    <xf numFmtId="0" fontId="99" fillId="0" borderId="0" xfId="0" applyFont="1" applyFill="1" applyAlignment="1">
      <alignment horizontal="center" vertical="center"/>
    </xf>
    <xf numFmtId="4" fontId="100" fillId="0" borderId="0" xfId="0" applyNumberFormat="1" applyFont="1" applyFill="1"/>
    <xf numFmtId="0" fontId="100" fillId="0" borderId="0" xfId="0" applyFont="1" applyFill="1" applyAlignment="1">
      <alignment vertical="center"/>
    </xf>
    <xf numFmtId="0" fontId="90" fillId="0" borderId="0" xfId="60" applyNumberFormat="1" applyFont="1" applyFill="1" applyBorder="1" applyAlignment="1" applyProtection="1">
      <alignment horizontal="left" vertical="center"/>
    </xf>
    <xf numFmtId="2" fontId="93" fillId="0" borderId="0" xfId="2" applyNumberFormat="1" applyFont="1" applyFill="1" applyBorder="1" applyAlignment="1">
      <alignment horizontal="left" vertical="center" wrapText="1"/>
    </xf>
    <xf numFmtId="0" fontId="77" fillId="0" borderId="18" xfId="0" applyFont="1" applyFill="1" applyBorder="1" applyAlignment="1">
      <alignment horizontal="center" vertical="center"/>
    </xf>
    <xf numFmtId="0" fontId="77" fillId="0" borderId="19" xfId="0" applyFont="1" applyFill="1" applyBorder="1" applyAlignment="1">
      <alignment horizontal="center" vertical="center"/>
    </xf>
    <xf numFmtId="0" fontId="77" fillId="0" borderId="28" xfId="0" applyFont="1" applyFill="1" applyBorder="1" applyAlignment="1">
      <alignment horizontal="center" vertical="center"/>
    </xf>
    <xf numFmtId="0" fontId="77" fillId="0" borderId="23" xfId="0" applyFont="1" applyFill="1" applyBorder="1" applyAlignment="1">
      <alignment horizontal="center" vertical="center"/>
    </xf>
    <xf numFmtId="0" fontId="77" fillId="0" borderId="22" xfId="0" applyFont="1" applyFill="1" applyBorder="1" applyAlignment="1">
      <alignment horizontal="center" vertical="center"/>
    </xf>
    <xf numFmtId="0" fontId="77" fillId="0" borderId="29" xfId="0" applyFont="1" applyFill="1" applyBorder="1" applyAlignment="1">
      <alignment horizontal="center" vertical="center"/>
    </xf>
    <xf numFmtId="0" fontId="77" fillId="0" borderId="21" xfId="0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center" vertical="center"/>
    </xf>
    <xf numFmtId="0" fontId="77" fillId="0" borderId="27" xfId="0" applyFont="1" applyFill="1" applyBorder="1" applyAlignment="1">
      <alignment horizontal="center" vertical="center"/>
    </xf>
    <xf numFmtId="164" fontId="71" fillId="0" borderId="0" xfId="0" applyNumberFormat="1" applyFont="1" applyBorder="1" applyAlignment="1">
      <alignment horizontal="left" vertical="center" wrapText="1"/>
    </xf>
    <xf numFmtId="164" fontId="71" fillId="0" borderId="0" xfId="0" applyNumberFormat="1" applyFont="1" applyFill="1" applyBorder="1" applyAlignment="1">
      <alignment horizontal="center" vertical="top" wrapText="1"/>
    </xf>
    <xf numFmtId="2" fontId="75" fillId="0" borderId="14" xfId="0" applyNumberFormat="1" applyFont="1" applyFill="1" applyBorder="1" applyAlignment="1" applyProtection="1">
      <alignment horizontal="center"/>
      <protection locked="0"/>
    </xf>
    <xf numFmtId="0" fontId="73" fillId="0" borderId="0" xfId="0" applyFont="1" applyFill="1" applyAlignment="1">
      <alignment horizontal="left" wrapText="1"/>
    </xf>
    <xf numFmtId="0" fontId="71" fillId="0" borderId="0" xfId="0" applyFont="1" applyFill="1" applyAlignment="1">
      <alignment horizontal="center" wrapText="1"/>
    </xf>
    <xf numFmtId="0" fontId="70" fillId="0" borderId="0" xfId="2" applyNumberFormat="1" applyFont="1" applyFill="1" applyAlignment="1">
      <alignment horizontal="center" vertical="center"/>
    </xf>
    <xf numFmtId="164" fontId="71" fillId="0" borderId="0" xfId="0" applyNumberFormat="1" applyFont="1" applyBorder="1" applyAlignment="1">
      <alignment horizontal="center" vertical="center" wrapText="1"/>
    </xf>
    <xf numFmtId="0" fontId="70" fillId="0" borderId="0" xfId="2" applyNumberFormat="1" applyFont="1" applyFill="1" applyAlignment="1">
      <alignment horizontal="center" vertical="center" wrapText="1"/>
    </xf>
    <xf numFmtId="0" fontId="70" fillId="0" borderId="0" xfId="2" applyNumberFormat="1" applyFont="1" applyFill="1" applyAlignment="1">
      <alignment horizontal="left" vertical="center"/>
    </xf>
    <xf numFmtId="0" fontId="74" fillId="0" borderId="0" xfId="0" applyFont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73" fillId="0" borderId="0" xfId="0" applyFont="1" applyAlignment="1">
      <alignment horizontal="center" vertical="center" wrapText="1"/>
    </xf>
    <xf numFmtId="0" fontId="67" fillId="0" borderId="18" xfId="0" applyFont="1" applyFill="1" applyBorder="1" applyAlignment="1">
      <alignment horizontal="center" vertical="center"/>
    </xf>
    <xf numFmtId="0" fontId="67" fillId="0" borderId="19" xfId="0" applyFont="1" applyFill="1" applyBorder="1" applyAlignment="1">
      <alignment horizontal="center" vertical="center"/>
    </xf>
    <xf numFmtId="0" fontId="67" fillId="0" borderId="28" xfId="0" applyFont="1" applyFill="1" applyBorder="1" applyAlignment="1">
      <alignment horizontal="center" vertical="center"/>
    </xf>
    <xf numFmtId="0" fontId="67" fillId="0" borderId="23" xfId="0" applyFont="1" applyFill="1" applyBorder="1" applyAlignment="1">
      <alignment horizontal="center" vertical="center"/>
    </xf>
    <xf numFmtId="0" fontId="67" fillId="0" borderId="22" xfId="0" applyFont="1" applyFill="1" applyBorder="1" applyAlignment="1">
      <alignment horizontal="center" vertical="center"/>
    </xf>
    <xf numFmtId="0" fontId="67" fillId="0" borderId="29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67" fillId="0" borderId="27" xfId="0" applyFont="1" applyFill="1" applyBorder="1" applyAlignment="1">
      <alignment horizontal="center" vertical="center"/>
    </xf>
    <xf numFmtId="164" fontId="62" fillId="0" borderId="0" xfId="0" applyNumberFormat="1" applyFont="1" applyBorder="1" applyAlignment="1">
      <alignment horizontal="left" vertical="center" wrapText="1"/>
    </xf>
    <xf numFmtId="164" fontId="62" fillId="0" borderId="0" xfId="0" applyNumberFormat="1" applyFont="1" applyFill="1" applyBorder="1" applyAlignment="1">
      <alignment horizontal="center" vertical="top" wrapText="1"/>
    </xf>
    <xf numFmtId="2" fontId="65" fillId="0" borderId="14" xfId="0" applyNumberFormat="1" applyFont="1" applyFill="1" applyBorder="1" applyAlignment="1" applyProtection="1">
      <alignment horizontal="center"/>
      <protection locked="0"/>
    </xf>
    <xf numFmtId="0" fontId="64" fillId="0" borderId="0" xfId="0" applyFont="1" applyFill="1" applyAlignment="1">
      <alignment horizontal="left" wrapText="1"/>
    </xf>
    <xf numFmtId="0" fontId="62" fillId="0" borderId="0" xfId="0" applyFont="1" applyFill="1" applyAlignment="1">
      <alignment horizontal="center" wrapText="1"/>
    </xf>
    <xf numFmtId="0" fontId="62" fillId="0" borderId="0" xfId="0" applyFont="1" applyFill="1" applyAlignment="1">
      <alignment horizontal="center" vertical="center" wrapText="1"/>
    </xf>
  </cellXfs>
  <cellStyles count="61">
    <cellStyle name="Обычный" xfId="0" builtinId="0"/>
    <cellStyle name="Обычный 2" xfId="59"/>
    <cellStyle name="Обычный 2 2" xfId="2"/>
    <cellStyle name="Обычный 2 4" xfId="3"/>
    <cellStyle name="Обычный 2 4 3 2 17" xfId="1"/>
    <cellStyle name="Обычный 2 4 3 2 2" xfId="4"/>
    <cellStyle name="Обычный 2 4 3 2 2 10" xfId="18"/>
    <cellStyle name="Обычный 2 4 3 2 2 11" xfId="19"/>
    <cellStyle name="Обычный 2 4 3 2 2 11 2" xfId="28"/>
    <cellStyle name="Обычный 2 4 3 2 2 12" xfId="20"/>
    <cellStyle name="Обычный 2 4 3 2 2 13" xfId="21"/>
    <cellStyle name="Обычный 2 4 3 2 2 13 2" xfId="34"/>
    <cellStyle name="Обычный 2 4 3 2 2 14" xfId="23"/>
    <cellStyle name="Обычный 2 4 3 2 2 15" xfId="24"/>
    <cellStyle name="Обычный 2 4 3 2 2 15 3" xfId="35"/>
    <cellStyle name="Обычный 2 4 3 2 2 16" xfId="25"/>
    <cellStyle name="Обычный 2 4 3 2 2 16 2" xfId="36"/>
    <cellStyle name="Обычный 2 4 3 2 2 17" xfId="26"/>
    <cellStyle name="Обычный 2 4 3 2 2 18" xfId="27"/>
    <cellStyle name="Обычный 2 4 3 2 2 18 2" xfId="44"/>
    <cellStyle name="Обычный 2 4 3 2 2 19" xfId="29"/>
    <cellStyle name="Обычный 2 4 3 2 2 2" xfId="6"/>
    <cellStyle name="Обычный 2 4 3 2 2 2 2" xfId="5"/>
    <cellStyle name="Обычный 2 4 3 2 2 20" xfId="30"/>
    <cellStyle name="Обычный 2 4 3 2 2 21" xfId="31"/>
    <cellStyle name="Обычный 2 4 3 2 2 22" xfId="32"/>
    <cellStyle name="Обычный 2 4 3 2 2 23" xfId="33"/>
    <cellStyle name="Обычный 2 4 3 2 2 24" xfId="37"/>
    <cellStyle name="Обычный 2 4 3 2 2 25" xfId="38"/>
    <cellStyle name="Обычный 2 4 3 2 2 26" xfId="39"/>
    <cellStyle name="Обычный 2 4 3 2 2 27" xfId="40"/>
    <cellStyle name="Обычный 2 4 3 2 2 28" xfId="41"/>
    <cellStyle name="Обычный 2 4 3 2 2 29" xfId="9"/>
    <cellStyle name="Обычный 2 4 3 2 2 3" xfId="7"/>
    <cellStyle name="Обычный 2 4 3 2 2 3 3" xfId="8"/>
    <cellStyle name="Обычный 2 4 3 2 2 30" xfId="15"/>
    <cellStyle name="Обычный 2 4 3 2 2 31" xfId="42"/>
    <cellStyle name="Обычный 2 4 3 2 2 32" xfId="22"/>
    <cellStyle name="Обычный 2 4 3 2 2 33" xfId="45"/>
    <cellStyle name="Обычный 2 4 3 2 2 34" xfId="46"/>
    <cellStyle name="Обычный 2 4 3 2 2 35" xfId="43"/>
    <cellStyle name="Обычный 2 4 3 2 2 36" xfId="47"/>
    <cellStyle name="Обычный 2 4 3 2 2 37" xfId="48"/>
    <cellStyle name="Обычный 2 4 3 2 2 38" xfId="49"/>
    <cellStyle name="Обычный 2 4 3 2 2 39" xfId="50"/>
    <cellStyle name="Обычный 2 4 3 2 2 4" xfId="10"/>
    <cellStyle name="Обычный 2 4 3 2 2 40" xfId="51"/>
    <cellStyle name="Обычный 2 4 3 2 2 41" xfId="52"/>
    <cellStyle name="Обычный 2 4 3 2 2 42" xfId="53"/>
    <cellStyle name="Обычный 2 4 3 2 2 43" xfId="54"/>
    <cellStyle name="Обычный 2 4 3 2 2 44" xfId="55"/>
    <cellStyle name="Обычный 2 4 3 2 2 45" xfId="56"/>
    <cellStyle name="Обычный 2 4 3 2 2 46" xfId="57"/>
    <cellStyle name="Обычный 2 4 3 2 2 47" xfId="58"/>
    <cellStyle name="Обычный 2 4 3 2 2 48" xfId="60"/>
    <cellStyle name="Обычный 2 4 3 2 2 5" xfId="11"/>
    <cellStyle name="Обычный 2 4 3 2 2 5 3" xfId="14"/>
    <cellStyle name="Обычный 2 4 3 2 2 6" xfId="12"/>
    <cellStyle name="Обычный 2 4 3 2 2 7" xfId="13"/>
    <cellStyle name="Обычный 2 4 3 2 2 8" xfId="16"/>
    <cellStyle name="Обычный 2 4 3 2 2 9" xfId="1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Data\share\&#1057;&#1077;&#1088;&#1074;&#1077;&#1088;\&#1052;&#1045;&#1053;&#1070;%20&#1085;&#1072;%20&#1090;&#1086;&#1095;&#1082;&#1080;\2019&#1075;&#1086;&#1076;\&#1064;&#1082;&#1086;&#1083;&#1072;%2015\&#1052;&#1045;&#1053;&#1070;%202019\&#1052;&#1077;&#1085;&#1102;%20&#1096;&#1082;%2015%20&#1076;&#1086;%2030.04.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09.д6"/>
      <sheetName val="14.09.д11"/>
      <sheetName val="17.09.д13"/>
      <sheetName val="18.09.д1"/>
      <sheetName val="19.09.д20"/>
      <sheetName val="20.09.д16"/>
      <sheetName val="21.09.д18"/>
      <sheetName val="24.09.д3"/>
      <sheetName val="25.09.д5"/>
      <sheetName val="26.09.д4"/>
      <sheetName val="27.09.д6"/>
      <sheetName val="28.09.д11"/>
      <sheetName val="1.10.д13"/>
      <sheetName val="2.10.д14"/>
      <sheetName val="3.10.д16"/>
      <sheetName val="4.10.д15"/>
      <sheetName val="5.10.д19"/>
      <sheetName val="8.10.д3"/>
      <sheetName val="09.10.д1"/>
      <sheetName val="10.10.д2"/>
      <sheetName val="11,10.д4"/>
      <sheetName val="12,10.д5"/>
      <sheetName val="15.10.9д"/>
      <sheetName val="16.10.д7"/>
      <sheetName val="17.10.д11"/>
      <sheetName val="18.10.д13 "/>
      <sheetName val="19.10.д14"/>
      <sheetName val="пн22.10.д18 "/>
      <sheetName val="вт23,10.д5"/>
      <sheetName val="ср24.10.д1"/>
      <sheetName val="чт25.10.д16"/>
      <sheetName val="пт26.10.д20"/>
      <sheetName val="вт06.11.д1"/>
      <sheetName val="ср07,11.д17"/>
      <sheetName val="чт08,11.д3"/>
      <sheetName val="чт09,11.д10"/>
      <sheetName val="вт13.11.д16 "/>
      <sheetName val="ср14.11.д9"/>
      <sheetName val="чт15.11.д2"/>
      <sheetName val="пт16.11.д6"/>
      <sheetName val="19.11.д13"/>
      <sheetName val="20.11.д.7"/>
      <sheetName val="21.11.д.5"/>
      <sheetName val="22.11.д.11"/>
      <sheetName val="23.11.д.1"/>
      <sheetName val="26.11.д9"/>
      <sheetName val="27.11д.4"/>
      <sheetName val="28.11.д14"/>
      <sheetName val="29.11.д6"/>
      <sheetName val="30.11.д19"/>
      <sheetName val="3.12д5"/>
      <sheetName val="4.12д9"/>
      <sheetName val="5.12д.1"/>
      <sheetName val="6.12д.4"/>
      <sheetName val="7.12д18"/>
      <sheetName val="10.12д.3"/>
      <sheetName val="11.12д.11"/>
      <sheetName val="12.12д14"/>
      <sheetName val="13.12д16"/>
      <sheetName val="14.12д12"/>
      <sheetName val="17.12д5"/>
      <sheetName val="18.12д20"/>
      <sheetName val="19.12д2"/>
      <sheetName val="20.12д.1"/>
      <sheetName val="24.12д19"/>
      <sheetName val="10.01д.3"/>
      <sheetName val="11.01д.4"/>
      <sheetName val="14.01д9"/>
      <sheetName val="15.01д16"/>
      <sheetName val="16.01д17"/>
      <sheetName val="18.01д5"/>
      <sheetName val="21.01.д6"/>
      <sheetName val="22.01д19"/>
      <sheetName val="24.01д2"/>
      <sheetName val="25.01д.7"/>
      <sheetName val="28.01д9"/>
      <sheetName val="29.01д.11"/>
      <sheetName val="30.01д.1"/>
      <sheetName val="31.01д8"/>
      <sheetName val="01.02д10"/>
      <sheetName val="04.02д16"/>
      <sheetName val="05.02д19"/>
      <sheetName val="06.02д2"/>
      <sheetName val="07.02д.11"/>
      <sheetName val="08.02д12"/>
      <sheetName val="11.02д13"/>
      <sheetName val="12.02д14"/>
      <sheetName val="13.02д5"/>
      <sheetName val="14.02д6"/>
      <sheetName val="15.02д10"/>
      <sheetName val="18.02д19"/>
      <sheetName val="19.02д9"/>
      <sheetName val="20.02д16"/>
      <sheetName val="21.02.д2"/>
      <sheetName val="22.02д.4"/>
      <sheetName val="25.02д2"/>
      <sheetName val="26.02д.3"/>
      <sheetName val="27.02д13"/>
      <sheetName val="28.02д10"/>
      <sheetName val="01.03д16"/>
      <sheetName val="04.03д9"/>
      <sheetName val="5.03д19"/>
      <sheetName val="06.03д5"/>
      <sheetName val="11.03д2"/>
      <sheetName val="12.03д12"/>
      <sheetName val="14.03.д2"/>
      <sheetName val="15.03д10"/>
      <sheetName val="18.03д18"/>
      <sheetName val="19.03д20"/>
      <sheetName val="20.03д16"/>
      <sheetName val="01.04д14"/>
      <sheetName val="02.04д19"/>
      <sheetName val="03.04д5"/>
      <sheetName val="04.04д10"/>
      <sheetName val="05.04д2"/>
      <sheetName val="08.04д.3"/>
      <sheetName val="09.04.д2"/>
      <sheetName val="10.04д12"/>
      <sheetName val="10.04д12 (2)"/>
      <sheetName val="11.04д14 "/>
      <sheetName val="11.04д14  (2)"/>
      <sheetName val="12.04д15"/>
      <sheetName val="15.04д16 "/>
      <sheetName val="16.04д17"/>
      <sheetName val="17.04д18"/>
      <sheetName val="18.04д19"/>
      <sheetName val="19.04д20"/>
      <sheetName val="22.04д.1 "/>
      <sheetName val="23.04д2"/>
      <sheetName val="24.04д.3 "/>
      <sheetName val="25.04д.4"/>
      <sheetName val="26.04д5"/>
      <sheetName val="29.04д6справить!!!"/>
      <sheetName val="30.04д.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view="pageBreakPreview" zoomScale="40" zoomScaleNormal="60" zoomScaleSheetLayoutView="40" workbookViewId="0">
      <selection activeCell="M30" sqref="M30:N31"/>
    </sheetView>
  </sheetViews>
  <sheetFormatPr defaultRowHeight="18.75" x14ac:dyDescent="0.3"/>
  <cols>
    <col min="1" max="2" width="25.7109375" style="80" customWidth="1"/>
    <col min="3" max="3" width="15.7109375" style="80" customWidth="1"/>
    <col min="4" max="4" width="83.28515625" style="80" customWidth="1"/>
    <col min="5" max="5" width="25.7109375" style="80" customWidth="1"/>
    <col min="6" max="6" width="27.42578125" style="80" customWidth="1"/>
    <col min="7" max="7" width="22.7109375" style="80" customWidth="1"/>
    <col min="8" max="8" width="24.5703125" style="80" customWidth="1"/>
    <col min="9" max="9" width="36.5703125" style="80" customWidth="1"/>
    <col min="10" max="11" width="25.7109375" style="80" customWidth="1"/>
    <col min="12" max="12" width="15.7109375" style="80" customWidth="1"/>
    <col min="13" max="13" width="82.28515625" style="80" customWidth="1"/>
    <col min="14" max="14" width="25.7109375" style="80" customWidth="1"/>
    <col min="15" max="15" width="25.5703125" style="80" customWidth="1"/>
    <col min="16" max="16" width="26.42578125" style="80" customWidth="1"/>
    <col min="17" max="17" width="23.42578125" style="80" customWidth="1"/>
    <col min="18" max="18" width="40.42578125" style="80" customWidth="1"/>
  </cols>
  <sheetData>
    <row r="1" spans="1:18" ht="30" customHeight="1" x14ac:dyDescent="0.45">
      <c r="A1" s="83" t="s">
        <v>40</v>
      </c>
      <c r="B1" s="83"/>
      <c r="C1" s="84"/>
      <c r="D1" s="84"/>
      <c r="E1" s="85"/>
      <c r="F1" s="299" t="s">
        <v>41</v>
      </c>
      <c r="G1" s="299"/>
      <c r="H1" s="299"/>
      <c r="I1" s="299"/>
      <c r="J1" s="83" t="s">
        <v>40</v>
      </c>
      <c r="K1" s="83"/>
      <c r="L1" s="84"/>
      <c r="M1" s="84"/>
      <c r="N1" s="85"/>
      <c r="O1" s="299" t="s">
        <v>41</v>
      </c>
      <c r="P1" s="299"/>
      <c r="Q1" s="299"/>
      <c r="R1" s="299"/>
    </row>
    <row r="2" spans="1:18" ht="42" customHeight="1" x14ac:dyDescent="0.45">
      <c r="A2" s="83" t="s">
        <v>42</v>
      </c>
      <c r="B2" s="83"/>
      <c r="C2" s="86"/>
      <c r="D2" s="86"/>
      <c r="E2" s="85"/>
      <c r="F2" s="299"/>
      <c r="G2" s="299"/>
      <c r="H2" s="299"/>
      <c r="I2" s="299"/>
      <c r="J2" s="83" t="s">
        <v>42</v>
      </c>
      <c r="K2" s="83"/>
      <c r="L2" s="86"/>
      <c r="M2" s="86"/>
      <c r="N2" s="85"/>
      <c r="O2" s="299"/>
      <c r="P2" s="299"/>
      <c r="Q2" s="299"/>
      <c r="R2" s="299"/>
    </row>
    <row r="3" spans="1:18" ht="42" customHeight="1" x14ac:dyDescent="0.45">
      <c r="A3" s="84" t="s">
        <v>44</v>
      </c>
      <c r="B3" s="84"/>
      <c r="C3" s="84"/>
      <c r="D3" s="84"/>
      <c r="E3" s="85"/>
      <c r="F3" s="298" t="s">
        <v>75</v>
      </c>
      <c r="G3" s="298"/>
      <c r="H3" s="298"/>
      <c r="I3" s="298"/>
      <c r="J3" s="84" t="s">
        <v>44</v>
      </c>
      <c r="K3" s="84"/>
      <c r="L3" s="84"/>
      <c r="M3" s="84"/>
      <c r="N3" s="85"/>
      <c r="O3" s="298" t="s">
        <v>75</v>
      </c>
      <c r="P3" s="298"/>
      <c r="Q3" s="298"/>
      <c r="R3" s="298"/>
    </row>
    <row r="4" spans="1:18" ht="30" customHeight="1" x14ac:dyDescent="0.45">
      <c r="A4" s="84" t="s">
        <v>45</v>
      </c>
      <c r="B4" s="84"/>
      <c r="C4" s="84"/>
      <c r="D4" s="84"/>
      <c r="E4" s="85"/>
      <c r="F4" s="84" t="s">
        <v>45</v>
      </c>
      <c r="G4" s="84"/>
      <c r="H4" s="87"/>
      <c r="I4" s="87"/>
      <c r="J4" s="84" t="s">
        <v>45</v>
      </c>
      <c r="K4" s="84"/>
      <c r="L4" s="84"/>
      <c r="M4" s="84"/>
      <c r="N4" s="85"/>
      <c r="O4" s="84" t="s">
        <v>45</v>
      </c>
      <c r="P4" s="84"/>
      <c r="Q4" s="87"/>
      <c r="R4" s="87"/>
    </row>
    <row r="5" spans="1:18" ht="30" customHeight="1" x14ac:dyDescent="0.5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</row>
    <row r="6" spans="1:18" ht="30" customHeight="1" x14ac:dyDescent="0.45">
      <c r="A6" s="302" t="s">
        <v>46</v>
      </c>
      <c r="B6" s="302"/>
      <c r="C6" s="301" t="s">
        <v>47</v>
      </c>
      <c r="D6" s="301"/>
      <c r="E6" s="301"/>
      <c r="F6" s="301"/>
      <c r="G6" s="301"/>
      <c r="H6" s="301"/>
      <c r="I6" s="301"/>
      <c r="J6" s="302" t="s">
        <v>46</v>
      </c>
      <c r="K6" s="302"/>
      <c r="L6" s="301" t="s">
        <v>47</v>
      </c>
      <c r="M6" s="301"/>
      <c r="N6" s="301"/>
      <c r="O6" s="301"/>
      <c r="P6" s="301"/>
      <c r="Q6" s="301"/>
      <c r="R6" s="301"/>
    </row>
    <row r="7" spans="1:18" ht="30" customHeight="1" x14ac:dyDescent="0.45">
      <c r="A7" s="89"/>
      <c r="B7" s="89"/>
      <c r="C7" s="301" t="s">
        <v>48</v>
      </c>
      <c r="D7" s="301"/>
      <c r="E7" s="301"/>
      <c r="F7" s="301"/>
      <c r="G7" s="301"/>
      <c r="H7" s="301"/>
      <c r="I7" s="301"/>
      <c r="J7" s="89"/>
      <c r="K7" s="89"/>
      <c r="L7" s="301" t="s">
        <v>48</v>
      </c>
      <c r="M7" s="301"/>
      <c r="N7" s="301"/>
      <c r="O7" s="301"/>
      <c r="P7" s="301"/>
      <c r="Q7" s="301"/>
      <c r="R7" s="301"/>
    </row>
    <row r="8" spans="1:18" ht="30" customHeight="1" x14ac:dyDescent="0.45">
      <c r="A8" s="89"/>
      <c r="B8" s="89"/>
      <c r="C8" s="90"/>
      <c r="D8" s="90"/>
      <c r="E8" s="90"/>
      <c r="F8" s="90"/>
      <c r="G8" s="90"/>
      <c r="H8" s="90"/>
      <c r="I8" s="90"/>
      <c r="J8" s="89"/>
      <c r="K8" s="89"/>
      <c r="L8" s="90"/>
      <c r="M8" s="90"/>
      <c r="N8" s="90"/>
      <c r="O8" s="90"/>
      <c r="P8" s="90"/>
      <c r="Q8" s="90"/>
      <c r="R8" s="90"/>
    </row>
    <row r="9" spans="1:18" ht="30" customHeight="1" x14ac:dyDescent="0.25">
      <c r="A9" s="91" t="s">
        <v>49</v>
      </c>
      <c r="B9" s="91"/>
      <c r="C9" s="91"/>
      <c r="D9" s="91"/>
      <c r="E9" s="181" t="s">
        <v>50</v>
      </c>
      <c r="F9" s="91"/>
      <c r="G9" s="91"/>
      <c r="H9" s="91"/>
      <c r="I9" s="91"/>
      <c r="J9" s="91" t="s">
        <v>49</v>
      </c>
      <c r="K9" s="91"/>
      <c r="L9" s="91"/>
      <c r="M9" s="91"/>
      <c r="N9" s="181" t="s">
        <v>50</v>
      </c>
      <c r="O9" s="91"/>
      <c r="P9" s="91"/>
      <c r="Q9" s="91"/>
      <c r="R9" s="91"/>
    </row>
    <row r="10" spans="1:18" ht="30" customHeight="1" thickBot="1" x14ac:dyDescent="0.3">
      <c r="A10" s="92"/>
      <c r="B10" s="92"/>
      <c r="C10" s="92"/>
      <c r="D10" s="92"/>
      <c r="E10" s="92"/>
      <c r="F10" s="92"/>
      <c r="G10" s="92"/>
      <c r="H10" s="93"/>
      <c r="I10" s="93"/>
      <c r="J10" s="92"/>
      <c r="K10" s="92"/>
      <c r="L10" s="92"/>
      <c r="M10" s="92"/>
      <c r="N10" s="92"/>
      <c r="O10" s="92"/>
      <c r="P10" s="92"/>
      <c r="Q10" s="93"/>
      <c r="R10" s="93"/>
    </row>
    <row r="11" spans="1:18" ht="30" customHeight="1" thickBot="1" x14ac:dyDescent="0.45">
      <c r="A11" s="94" t="s">
        <v>28</v>
      </c>
      <c r="B11" s="300" t="s">
        <v>27</v>
      </c>
      <c r="C11" s="300"/>
      <c r="D11" s="300"/>
      <c r="E11" s="300"/>
      <c r="F11" s="95" t="s">
        <v>26</v>
      </c>
      <c r="G11" s="95" t="s">
        <v>25</v>
      </c>
      <c r="H11" s="95" t="s">
        <v>24</v>
      </c>
      <c r="I11" s="96">
        <v>44652</v>
      </c>
      <c r="J11" s="94" t="s">
        <v>28</v>
      </c>
      <c r="K11" s="300" t="s">
        <v>27</v>
      </c>
      <c r="L11" s="300"/>
      <c r="M11" s="300"/>
      <c r="N11" s="300"/>
      <c r="O11" s="95" t="s">
        <v>26</v>
      </c>
      <c r="P11" s="95" t="s">
        <v>29</v>
      </c>
      <c r="Q11" s="95" t="s">
        <v>24</v>
      </c>
      <c r="R11" s="96">
        <f>I11</f>
        <v>44652</v>
      </c>
    </row>
    <row r="12" spans="1:18" s="100" customFormat="1" ht="35.25" customHeight="1" thickBot="1" x14ac:dyDescent="0.3">
      <c r="A12" s="97" t="s">
        <v>23</v>
      </c>
      <c r="B12" s="98" t="s">
        <v>22</v>
      </c>
      <c r="C12" s="98" t="s">
        <v>51</v>
      </c>
      <c r="D12" s="98" t="s">
        <v>21</v>
      </c>
      <c r="E12" s="98" t="s">
        <v>20</v>
      </c>
      <c r="F12" s="98" t="s">
        <v>19</v>
      </c>
      <c r="G12" s="98" t="s">
        <v>18</v>
      </c>
      <c r="H12" s="98" t="s">
        <v>17</v>
      </c>
      <c r="I12" s="99" t="s">
        <v>16</v>
      </c>
      <c r="J12" s="97" t="s">
        <v>23</v>
      </c>
      <c r="K12" s="98" t="s">
        <v>22</v>
      </c>
      <c r="L12" s="98" t="s">
        <v>51</v>
      </c>
      <c r="M12" s="98" t="s">
        <v>21</v>
      </c>
      <c r="N12" s="98" t="s">
        <v>20</v>
      </c>
      <c r="O12" s="98" t="s">
        <v>19</v>
      </c>
      <c r="P12" s="98" t="s">
        <v>18</v>
      </c>
      <c r="Q12" s="98" t="s">
        <v>17</v>
      </c>
      <c r="R12" s="99" t="s">
        <v>16</v>
      </c>
    </row>
    <row r="13" spans="1:18" s="109" customFormat="1" ht="30" customHeight="1" x14ac:dyDescent="0.25">
      <c r="A13" s="101" t="s">
        <v>15</v>
      </c>
      <c r="B13" s="102" t="s">
        <v>38</v>
      </c>
      <c r="C13" s="103">
        <v>30</v>
      </c>
      <c r="D13" s="104" t="s">
        <v>76</v>
      </c>
      <c r="E13" s="105" t="s">
        <v>8</v>
      </c>
      <c r="F13" s="106">
        <v>10</v>
      </c>
      <c r="G13" s="106">
        <v>6.2</v>
      </c>
      <c r="H13" s="106">
        <v>44</v>
      </c>
      <c r="I13" s="107">
        <v>272.5</v>
      </c>
      <c r="J13" s="101" t="s">
        <v>15</v>
      </c>
      <c r="K13" s="102" t="s">
        <v>38</v>
      </c>
      <c r="L13" s="103">
        <v>80</v>
      </c>
      <c r="M13" s="104" t="s">
        <v>77</v>
      </c>
      <c r="N13" s="105" t="s">
        <v>78</v>
      </c>
      <c r="O13" s="106">
        <v>10</v>
      </c>
      <c r="P13" s="106">
        <v>6.2</v>
      </c>
      <c r="Q13" s="106">
        <v>44</v>
      </c>
      <c r="R13" s="108">
        <v>272.5</v>
      </c>
    </row>
    <row r="14" spans="1:18" s="118" customFormat="1" ht="33.75" customHeight="1" x14ac:dyDescent="0.25">
      <c r="A14" s="110"/>
      <c r="B14" s="111" t="s">
        <v>14</v>
      </c>
      <c r="C14" s="112">
        <f t="shared" ref="C14" si="0">C13</f>
        <v>30</v>
      </c>
      <c r="D14" s="113" t="s">
        <v>13</v>
      </c>
      <c r="E14" s="114" t="s">
        <v>12</v>
      </c>
      <c r="F14" s="115">
        <v>2.2999999999999998</v>
      </c>
      <c r="G14" s="115">
        <v>0.9</v>
      </c>
      <c r="H14" s="115">
        <v>15.4</v>
      </c>
      <c r="I14" s="116">
        <v>78.599999999999994</v>
      </c>
      <c r="J14" s="110"/>
      <c r="K14" s="111" t="s">
        <v>14</v>
      </c>
      <c r="L14" s="112">
        <f t="shared" ref="L14" si="1">L13</f>
        <v>80</v>
      </c>
      <c r="M14" s="113" t="s">
        <v>13</v>
      </c>
      <c r="N14" s="114" t="s">
        <v>12</v>
      </c>
      <c r="O14" s="115">
        <v>2.2999999999999998</v>
      </c>
      <c r="P14" s="115">
        <v>0.9</v>
      </c>
      <c r="Q14" s="115">
        <v>15.4</v>
      </c>
      <c r="R14" s="117">
        <v>78.599999999999994</v>
      </c>
    </row>
    <row r="15" spans="1:18" s="118" customFormat="1" ht="33.75" customHeight="1" x14ac:dyDescent="0.4">
      <c r="A15" s="110"/>
      <c r="B15" s="119" t="s">
        <v>79</v>
      </c>
      <c r="C15" s="120">
        <f>C14</f>
        <v>30</v>
      </c>
      <c r="D15" s="113" t="s">
        <v>80</v>
      </c>
      <c r="E15" s="114" t="s">
        <v>81</v>
      </c>
      <c r="F15" s="115">
        <v>0.1</v>
      </c>
      <c r="G15" s="115">
        <v>7.3</v>
      </c>
      <c r="H15" s="115">
        <v>0.1</v>
      </c>
      <c r="I15" s="116">
        <v>66.099999999999994</v>
      </c>
      <c r="J15" s="110"/>
      <c r="K15" s="119" t="s">
        <v>79</v>
      </c>
      <c r="L15" s="120">
        <f>L14</f>
        <v>80</v>
      </c>
      <c r="M15" s="113" t="s">
        <v>80</v>
      </c>
      <c r="N15" s="114" t="s">
        <v>81</v>
      </c>
      <c r="O15" s="115">
        <v>0.1</v>
      </c>
      <c r="P15" s="115">
        <v>7.3</v>
      </c>
      <c r="Q15" s="115">
        <v>0.1</v>
      </c>
      <c r="R15" s="117">
        <v>66.099999999999994</v>
      </c>
    </row>
    <row r="16" spans="1:18" s="118" customFormat="1" ht="33.75" customHeight="1" x14ac:dyDescent="0.25">
      <c r="A16" s="110"/>
      <c r="B16" s="111" t="s">
        <v>1</v>
      </c>
      <c r="C16" s="112">
        <f>C15</f>
        <v>30</v>
      </c>
      <c r="D16" s="113" t="s">
        <v>82</v>
      </c>
      <c r="E16" s="114" t="s">
        <v>8</v>
      </c>
      <c r="F16" s="121">
        <v>0</v>
      </c>
      <c r="G16" s="121">
        <v>0</v>
      </c>
      <c r="H16" s="121">
        <v>10.1</v>
      </c>
      <c r="I16" s="122">
        <v>41</v>
      </c>
      <c r="J16" s="110"/>
      <c r="K16" s="111" t="s">
        <v>1</v>
      </c>
      <c r="L16" s="112">
        <f>L15</f>
        <v>80</v>
      </c>
      <c r="M16" s="113" t="s">
        <v>82</v>
      </c>
      <c r="N16" s="114" t="s">
        <v>8</v>
      </c>
      <c r="O16" s="121">
        <v>0</v>
      </c>
      <c r="P16" s="121">
        <v>0</v>
      </c>
      <c r="Q16" s="121">
        <v>10.1</v>
      </c>
      <c r="R16" s="122">
        <v>41</v>
      </c>
    </row>
    <row r="17" spans="1:18" s="118" customFormat="1" ht="33.75" customHeight="1" x14ac:dyDescent="0.25">
      <c r="A17" s="110"/>
      <c r="B17" s="111" t="s">
        <v>83</v>
      </c>
      <c r="C17" s="112">
        <f>C16</f>
        <v>30</v>
      </c>
      <c r="D17" s="113" t="s">
        <v>84</v>
      </c>
      <c r="E17" s="114" t="s">
        <v>81</v>
      </c>
      <c r="F17" s="115">
        <v>2.2999999999999998</v>
      </c>
      <c r="G17" s="115">
        <v>2.9</v>
      </c>
      <c r="H17" s="115">
        <v>0</v>
      </c>
      <c r="I17" s="116">
        <v>35</v>
      </c>
      <c r="J17" s="110"/>
      <c r="K17" s="111" t="s">
        <v>83</v>
      </c>
      <c r="L17" s="112">
        <f>L16</f>
        <v>80</v>
      </c>
      <c r="M17" s="113" t="s">
        <v>84</v>
      </c>
      <c r="N17" s="114" t="s">
        <v>81</v>
      </c>
      <c r="O17" s="115">
        <v>2.2999999999999998</v>
      </c>
      <c r="P17" s="115">
        <v>2.9</v>
      </c>
      <c r="Q17" s="115">
        <v>0</v>
      </c>
      <c r="R17" s="117">
        <v>35</v>
      </c>
    </row>
    <row r="18" spans="1:18" s="118" customFormat="1" ht="33.75" customHeight="1" x14ac:dyDescent="0.4">
      <c r="A18" s="123"/>
      <c r="B18" s="119"/>
      <c r="C18" s="120"/>
      <c r="D18" s="113"/>
      <c r="E18" s="114"/>
      <c r="F18" s="115"/>
      <c r="G18" s="115"/>
      <c r="H18" s="115"/>
      <c r="I18" s="117"/>
      <c r="J18" s="110"/>
      <c r="K18" s="119"/>
      <c r="L18" s="120"/>
      <c r="M18" s="113"/>
      <c r="N18" s="114"/>
      <c r="O18" s="115"/>
      <c r="P18" s="115"/>
      <c r="Q18" s="115"/>
      <c r="R18" s="117"/>
    </row>
    <row r="19" spans="1:18" s="118" customFormat="1" ht="36" customHeight="1" thickBot="1" x14ac:dyDescent="0.3">
      <c r="A19" s="131"/>
      <c r="B19" s="125"/>
      <c r="C19" s="126"/>
      <c r="D19" s="127"/>
      <c r="E19" s="128"/>
      <c r="F19" s="129"/>
      <c r="G19" s="129"/>
      <c r="H19" s="129"/>
      <c r="I19" s="130"/>
      <c r="J19" s="124"/>
      <c r="K19" s="125"/>
      <c r="L19" s="126"/>
      <c r="M19" s="127"/>
      <c r="N19" s="128"/>
      <c r="O19" s="129"/>
      <c r="P19" s="129"/>
      <c r="Q19" s="129"/>
      <c r="R19" s="130"/>
    </row>
    <row r="20" spans="1:18" s="118" customFormat="1" ht="36" customHeight="1" thickBot="1" x14ac:dyDescent="0.3">
      <c r="A20" s="295" t="s">
        <v>0</v>
      </c>
      <c r="B20" s="296"/>
      <c r="C20" s="297"/>
      <c r="D20" s="132"/>
      <c r="E20" s="133"/>
      <c r="F20" s="134">
        <f>SUM(F13:F19)</f>
        <v>14.7</v>
      </c>
      <c r="G20" s="134">
        <f t="shared" ref="G20:I20" si="2">SUM(G13:G19)</f>
        <v>17.3</v>
      </c>
      <c r="H20" s="134">
        <f t="shared" si="2"/>
        <v>69.599999999999994</v>
      </c>
      <c r="I20" s="135">
        <f t="shared" si="2"/>
        <v>493.20000000000005</v>
      </c>
      <c r="J20" s="295" t="s">
        <v>0</v>
      </c>
      <c r="K20" s="296"/>
      <c r="L20" s="297"/>
      <c r="M20" s="132"/>
      <c r="N20" s="133"/>
      <c r="O20" s="134">
        <f>SUM(O13:O19)</f>
        <v>14.7</v>
      </c>
      <c r="P20" s="134">
        <f t="shared" ref="P20:R20" si="3">SUM(P13:P19)</f>
        <v>17.3</v>
      </c>
      <c r="Q20" s="134">
        <f t="shared" si="3"/>
        <v>69.599999999999994</v>
      </c>
      <c r="R20" s="135">
        <f t="shared" si="3"/>
        <v>493.20000000000005</v>
      </c>
    </row>
    <row r="21" spans="1:18" s="109" customFormat="1" ht="66" customHeight="1" x14ac:dyDescent="0.25">
      <c r="A21" s="101" t="s">
        <v>11</v>
      </c>
      <c r="B21" s="102" t="s">
        <v>30</v>
      </c>
      <c r="C21" s="103">
        <v>30</v>
      </c>
      <c r="D21" s="104" t="s">
        <v>85</v>
      </c>
      <c r="E21" s="105" t="s">
        <v>37</v>
      </c>
      <c r="F21" s="106">
        <f>5.5/10*8</f>
        <v>4.4000000000000004</v>
      </c>
      <c r="G21" s="106">
        <f>1/10*8</f>
        <v>0.8</v>
      </c>
      <c r="H21" s="106">
        <f>9.4/10*8</f>
        <v>7.5200000000000005</v>
      </c>
      <c r="I21" s="108">
        <f>69.4/10*8</f>
        <v>55.52</v>
      </c>
      <c r="J21" s="101" t="s">
        <v>11</v>
      </c>
      <c r="K21" s="102" t="s">
        <v>30</v>
      </c>
      <c r="L21" s="103">
        <v>84</v>
      </c>
      <c r="M21" s="104" t="s">
        <v>85</v>
      </c>
      <c r="N21" s="105" t="s">
        <v>37</v>
      </c>
      <c r="O21" s="106">
        <f>5.5/10*8</f>
        <v>4.4000000000000004</v>
      </c>
      <c r="P21" s="106">
        <f>1/10*8</f>
        <v>0.8</v>
      </c>
      <c r="Q21" s="106">
        <f>9.4/10*8</f>
        <v>7.5200000000000005</v>
      </c>
      <c r="R21" s="108">
        <f>69.4/10*8</f>
        <v>55.52</v>
      </c>
    </row>
    <row r="22" spans="1:18" s="80" customFormat="1" ht="30" customHeight="1" x14ac:dyDescent="0.4">
      <c r="A22" s="136"/>
      <c r="B22" s="119" t="s">
        <v>10</v>
      </c>
      <c r="C22" s="120">
        <f t="shared" ref="C22:C27" si="4">C21</f>
        <v>30</v>
      </c>
      <c r="D22" s="113" t="s">
        <v>86</v>
      </c>
      <c r="E22" s="114" t="s">
        <v>36</v>
      </c>
      <c r="F22" s="121">
        <f>5.1/30*25</f>
        <v>4.25</v>
      </c>
      <c r="G22" s="121">
        <f>4.8/30*25</f>
        <v>4</v>
      </c>
      <c r="H22" s="121">
        <f>12.6/30*25</f>
        <v>10.5</v>
      </c>
      <c r="I22" s="122">
        <f>110.1/30*25</f>
        <v>91.75</v>
      </c>
      <c r="J22" s="136"/>
      <c r="K22" s="119" t="s">
        <v>10</v>
      </c>
      <c r="L22" s="120">
        <f t="shared" ref="L22:L27" si="5">L21</f>
        <v>84</v>
      </c>
      <c r="M22" s="113" t="s">
        <v>86</v>
      </c>
      <c r="N22" s="114" t="s">
        <v>36</v>
      </c>
      <c r="O22" s="121">
        <f>5.1/30*25</f>
        <v>4.25</v>
      </c>
      <c r="P22" s="121">
        <f>4.8/30*25</f>
        <v>4</v>
      </c>
      <c r="Q22" s="121">
        <f>12.6/30*25</f>
        <v>10.5</v>
      </c>
      <c r="R22" s="122">
        <f>110.1/30*25</f>
        <v>91.75</v>
      </c>
    </row>
    <row r="23" spans="1:18" s="80" customFormat="1" ht="30" customHeight="1" x14ac:dyDescent="0.4">
      <c r="A23" s="136"/>
      <c r="B23" s="119" t="s">
        <v>9</v>
      </c>
      <c r="C23" s="120">
        <f t="shared" si="4"/>
        <v>30</v>
      </c>
      <c r="D23" s="113" t="s">
        <v>87</v>
      </c>
      <c r="E23" s="114" t="s">
        <v>64</v>
      </c>
      <c r="F23" s="121">
        <v>21</v>
      </c>
      <c r="G23" s="121">
        <v>8.1999999999999993</v>
      </c>
      <c r="H23" s="121">
        <v>0.6</v>
      </c>
      <c r="I23" s="122">
        <v>161</v>
      </c>
      <c r="J23" s="136"/>
      <c r="K23" s="119" t="s">
        <v>9</v>
      </c>
      <c r="L23" s="120">
        <f t="shared" si="5"/>
        <v>84</v>
      </c>
      <c r="M23" s="113" t="s">
        <v>87</v>
      </c>
      <c r="N23" s="114" t="s">
        <v>64</v>
      </c>
      <c r="O23" s="121">
        <v>21</v>
      </c>
      <c r="P23" s="121">
        <v>8.1999999999999993</v>
      </c>
      <c r="Q23" s="121">
        <v>0.6</v>
      </c>
      <c r="R23" s="122">
        <v>161</v>
      </c>
    </row>
    <row r="24" spans="1:18" s="80" customFormat="1" ht="30" customHeight="1" x14ac:dyDescent="0.4">
      <c r="A24" s="136"/>
      <c r="B24" s="119" t="s">
        <v>91</v>
      </c>
      <c r="C24" s="120">
        <f t="shared" si="4"/>
        <v>30</v>
      </c>
      <c r="D24" s="113" t="s">
        <v>92</v>
      </c>
      <c r="E24" s="114" t="s">
        <v>31</v>
      </c>
      <c r="F24" s="115">
        <v>6</v>
      </c>
      <c r="G24" s="115">
        <v>1.4</v>
      </c>
      <c r="H24" s="115">
        <v>38.299999999999997</v>
      </c>
      <c r="I24" s="117">
        <v>180.3</v>
      </c>
      <c r="J24" s="136"/>
      <c r="K24" s="119" t="s">
        <v>91</v>
      </c>
      <c r="L24" s="120">
        <f t="shared" si="5"/>
        <v>84</v>
      </c>
      <c r="M24" s="113" t="s">
        <v>92</v>
      </c>
      <c r="N24" s="114" t="s">
        <v>32</v>
      </c>
      <c r="O24" s="115">
        <f>6/15*18</f>
        <v>7.2</v>
      </c>
      <c r="P24" s="115">
        <f>1.4/15*18</f>
        <v>1.6799999999999997</v>
      </c>
      <c r="Q24" s="115">
        <f>38.3/15*18</f>
        <v>45.96</v>
      </c>
      <c r="R24" s="117">
        <f>180.3/15*18</f>
        <v>216.36</v>
      </c>
    </row>
    <row r="25" spans="1:18" s="118" customFormat="1" ht="33.75" customHeight="1" x14ac:dyDescent="0.25">
      <c r="A25" s="110"/>
      <c r="B25" s="111" t="s">
        <v>1</v>
      </c>
      <c r="C25" s="112">
        <f t="shared" si="4"/>
        <v>30</v>
      </c>
      <c r="D25" s="113" t="s">
        <v>94</v>
      </c>
      <c r="E25" s="114" t="s">
        <v>8</v>
      </c>
      <c r="F25" s="121">
        <v>0.9</v>
      </c>
      <c r="G25" s="121">
        <v>0.1</v>
      </c>
      <c r="H25" s="121">
        <v>32</v>
      </c>
      <c r="I25" s="122">
        <v>131.80000000000001</v>
      </c>
      <c r="J25" s="110"/>
      <c r="K25" s="111" t="s">
        <v>1</v>
      </c>
      <c r="L25" s="112">
        <f t="shared" si="5"/>
        <v>84</v>
      </c>
      <c r="M25" s="113" t="s">
        <v>94</v>
      </c>
      <c r="N25" s="114" t="s">
        <v>8</v>
      </c>
      <c r="O25" s="121">
        <v>0.9</v>
      </c>
      <c r="P25" s="121">
        <v>0.1</v>
      </c>
      <c r="Q25" s="121">
        <v>32</v>
      </c>
      <c r="R25" s="122">
        <v>131.80000000000001</v>
      </c>
    </row>
    <row r="26" spans="1:18" s="137" customFormat="1" ht="33.75" customHeight="1" x14ac:dyDescent="0.25">
      <c r="A26" s="110"/>
      <c r="B26" s="111" t="s">
        <v>7</v>
      </c>
      <c r="C26" s="112">
        <f t="shared" si="4"/>
        <v>30</v>
      </c>
      <c r="D26" s="113" t="s">
        <v>6</v>
      </c>
      <c r="E26" s="114" t="s">
        <v>3</v>
      </c>
      <c r="F26" s="115">
        <f t="shared" ref="F26:I26" si="6">F25/2</f>
        <v>0.45</v>
      </c>
      <c r="G26" s="115">
        <f t="shared" si="6"/>
        <v>0.05</v>
      </c>
      <c r="H26" s="115">
        <f t="shared" si="6"/>
        <v>16</v>
      </c>
      <c r="I26" s="117">
        <f t="shared" si="6"/>
        <v>65.900000000000006</v>
      </c>
      <c r="J26" s="110"/>
      <c r="K26" s="111" t="s">
        <v>7</v>
      </c>
      <c r="L26" s="112">
        <f t="shared" si="5"/>
        <v>84</v>
      </c>
      <c r="M26" s="113" t="s">
        <v>6</v>
      </c>
      <c r="N26" s="114" t="s">
        <v>3</v>
      </c>
      <c r="O26" s="115">
        <f t="shared" ref="O26:R26" si="7">O25/2</f>
        <v>0.45</v>
      </c>
      <c r="P26" s="115">
        <f t="shared" si="7"/>
        <v>0.05</v>
      </c>
      <c r="Q26" s="115">
        <f t="shared" si="7"/>
        <v>16</v>
      </c>
      <c r="R26" s="117">
        <f t="shared" si="7"/>
        <v>65.900000000000006</v>
      </c>
    </row>
    <row r="27" spans="1:18" s="118" customFormat="1" ht="30" customHeight="1" x14ac:dyDescent="0.25">
      <c r="A27" s="110"/>
      <c r="B27" s="111" t="s">
        <v>5</v>
      </c>
      <c r="C27" s="112">
        <f t="shared" si="4"/>
        <v>30</v>
      </c>
      <c r="D27" s="113" t="s">
        <v>4</v>
      </c>
      <c r="E27" s="114" t="s">
        <v>3</v>
      </c>
      <c r="F27" s="121">
        <v>2.6</v>
      </c>
      <c r="G27" s="121">
        <v>1</v>
      </c>
      <c r="H27" s="121">
        <v>12.8</v>
      </c>
      <c r="I27" s="122">
        <v>77.7</v>
      </c>
      <c r="J27" s="110"/>
      <c r="K27" s="111" t="s">
        <v>5</v>
      </c>
      <c r="L27" s="112">
        <f t="shared" si="5"/>
        <v>84</v>
      </c>
      <c r="M27" s="113" t="s">
        <v>4</v>
      </c>
      <c r="N27" s="114" t="s">
        <v>3</v>
      </c>
      <c r="O27" s="121">
        <v>2.6</v>
      </c>
      <c r="P27" s="121">
        <v>1</v>
      </c>
      <c r="Q27" s="121">
        <v>12.8</v>
      </c>
      <c r="R27" s="122">
        <v>77.7</v>
      </c>
    </row>
    <row r="28" spans="1:18" s="118" customFormat="1" ht="30" customHeight="1" thickBot="1" x14ac:dyDescent="0.3">
      <c r="A28" s="124"/>
      <c r="B28" s="125"/>
      <c r="C28" s="126"/>
      <c r="D28" s="127"/>
      <c r="E28" s="128"/>
      <c r="F28" s="129"/>
      <c r="G28" s="129"/>
      <c r="H28" s="129"/>
      <c r="I28" s="130"/>
      <c r="J28" s="124"/>
      <c r="K28" s="125"/>
      <c r="L28" s="126"/>
      <c r="M28" s="127"/>
      <c r="N28" s="128"/>
      <c r="O28" s="129"/>
      <c r="P28" s="129"/>
      <c r="Q28" s="129"/>
      <c r="R28" s="130"/>
    </row>
    <row r="29" spans="1:18" s="118" customFormat="1" ht="30" customHeight="1" thickBot="1" x14ac:dyDescent="0.3">
      <c r="A29" s="289" t="s">
        <v>0</v>
      </c>
      <c r="B29" s="290"/>
      <c r="C29" s="291"/>
      <c r="D29" s="141"/>
      <c r="E29" s="142"/>
      <c r="F29" s="143">
        <f>SUM(F21:F28)</f>
        <v>39.6</v>
      </c>
      <c r="G29" s="143">
        <f>SUM(G21:G28)</f>
        <v>15.55</v>
      </c>
      <c r="H29" s="143">
        <f>SUM(H21:H28)</f>
        <v>117.72</v>
      </c>
      <c r="I29" s="144">
        <f>SUM(I21:I28)</f>
        <v>763.97</v>
      </c>
      <c r="J29" s="289" t="s">
        <v>0</v>
      </c>
      <c r="K29" s="290"/>
      <c r="L29" s="291"/>
      <c r="M29" s="141"/>
      <c r="N29" s="142"/>
      <c r="O29" s="143">
        <f>SUM(O21:O28)</f>
        <v>40.800000000000004</v>
      </c>
      <c r="P29" s="143">
        <f>SUM(P21:P28)</f>
        <v>15.83</v>
      </c>
      <c r="Q29" s="143">
        <f>SUM(Q21:Q28)</f>
        <v>125.38</v>
      </c>
      <c r="R29" s="144">
        <f>SUM(R21:R28)</f>
        <v>800.03000000000009</v>
      </c>
    </row>
    <row r="30" spans="1:18" s="118" customFormat="1" ht="30" customHeight="1" x14ac:dyDescent="0.4">
      <c r="A30" s="101" t="s">
        <v>2</v>
      </c>
      <c r="B30" s="120" t="s">
        <v>1</v>
      </c>
      <c r="C30" s="145">
        <v>29</v>
      </c>
      <c r="D30" s="113" t="s">
        <v>95</v>
      </c>
      <c r="E30" s="114" t="s">
        <v>57</v>
      </c>
      <c r="F30" s="115">
        <v>1.4</v>
      </c>
      <c r="G30" s="115">
        <v>0.2</v>
      </c>
      <c r="H30" s="115">
        <v>26.4</v>
      </c>
      <c r="I30" s="117">
        <v>120</v>
      </c>
      <c r="J30" s="101" t="s">
        <v>2</v>
      </c>
      <c r="K30" s="120" t="s">
        <v>1</v>
      </c>
      <c r="L30" s="145">
        <v>8</v>
      </c>
      <c r="M30" s="113" t="s">
        <v>95</v>
      </c>
      <c r="N30" s="114" t="s">
        <v>57</v>
      </c>
      <c r="O30" s="115">
        <v>1.4</v>
      </c>
      <c r="P30" s="115">
        <v>0.2</v>
      </c>
      <c r="Q30" s="115">
        <v>26.4</v>
      </c>
      <c r="R30" s="117">
        <v>120</v>
      </c>
    </row>
    <row r="31" spans="1:18" s="80" customFormat="1" ht="30" customHeight="1" x14ac:dyDescent="0.4">
      <c r="A31" s="136"/>
      <c r="B31" s="119" t="s">
        <v>69</v>
      </c>
      <c r="C31" s="120">
        <f>C30</f>
        <v>29</v>
      </c>
      <c r="D31" s="113" t="s">
        <v>96</v>
      </c>
      <c r="E31" s="114" t="s">
        <v>33</v>
      </c>
      <c r="F31" s="115">
        <v>6.8</v>
      </c>
      <c r="G31" s="115">
        <f>3.8</f>
        <v>3.8</v>
      </c>
      <c r="H31" s="115">
        <f>44.3</f>
        <v>44.3</v>
      </c>
      <c r="I31" s="117">
        <f>232.5</f>
        <v>232.5</v>
      </c>
      <c r="J31" s="136"/>
      <c r="K31" s="119" t="s">
        <v>97</v>
      </c>
      <c r="L31" s="120">
        <f>L30</f>
        <v>8</v>
      </c>
      <c r="M31" s="113" t="s">
        <v>96</v>
      </c>
      <c r="N31" s="114" t="s">
        <v>34</v>
      </c>
      <c r="O31" s="115">
        <f>6.8/7*9</f>
        <v>8.742857142857142</v>
      </c>
      <c r="P31" s="115">
        <f>3.8/7*9</f>
        <v>4.8857142857142852</v>
      </c>
      <c r="Q31" s="115">
        <f>44.3/7*9</f>
        <v>56.957142857142856</v>
      </c>
      <c r="R31" s="117">
        <f>232.5/7*9</f>
        <v>298.92857142857144</v>
      </c>
    </row>
    <row r="32" spans="1:18" s="118" customFormat="1" ht="30" customHeight="1" thickBot="1" x14ac:dyDescent="0.45">
      <c r="A32" s="124"/>
      <c r="B32" s="126"/>
      <c r="C32" s="146"/>
      <c r="D32" s="127"/>
      <c r="E32" s="128"/>
      <c r="F32" s="129"/>
      <c r="G32" s="139"/>
      <c r="H32" s="139"/>
      <c r="I32" s="140"/>
      <c r="J32" s="124"/>
      <c r="K32" s="138"/>
      <c r="L32" s="120"/>
      <c r="M32" s="127"/>
      <c r="N32" s="128"/>
      <c r="O32" s="139"/>
      <c r="P32" s="139"/>
      <c r="Q32" s="139"/>
      <c r="R32" s="140"/>
    </row>
    <row r="33" spans="1:18" s="147" customFormat="1" ht="30" customHeight="1" thickBot="1" x14ac:dyDescent="0.3">
      <c r="A33" s="289" t="s">
        <v>0</v>
      </c>
      <c r="B33" s="290"/>
      <c r="C33" s="291"/>
      <c r="D33" s="141"/>
      <c r="E33" s="142"/>
      <c r="F33" s="143">
        <f>SUM(F30:F32)</f>
        <v>8.1999999999999993</v>
      </c>
      <c r="G33" s="143">
        <f>SUM(G30:G32)</f>
        <v>4</v>
      </c>
      <c r="H33" s="143">
        <f>SUM(H30:H32)</f>
        <v>70.699999999999989</v>
      </c>
      <c r="I33" s="144">
        <f>SUM(I30:I32)</f>
        <v>352.5</v>
      </c>
      <c r="J33" s="292" t="s">
        <v>0</v>
      </c>
      <c r="K33" s="293"/>
      <c r="L33" s="294"/>
      <c r="M33" s="141"/>
      <c r="N33" s="142"/>
      <c r="O33" s="143">
        <f>SUM(O30:O32)</f>
        <v>10.142857142857142</v>
      </c>
      <c r="P33" s="143">
        <f>SUM(P30:P32)</f>
        <v>5.0857142857142854</v>
      </c>
      <c r="Q33" s="143">
        <f>SUM(Q30:Q32)</f>
        <v>83.357142857142861</v>
      </c>
      <c r="R33" s="144">
        <f>SUM(R30:R32)</f>
        <v>418.92857142857144</v>
      </c>
    </row>
    <row r="34" spans="1:18" s="149" customFormat="1" ht="24.95" customHeight="1" x14ac:dyDescent="0.25">
      <c r="A34" s="148"/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</row>
    <row r="35" spans="1:18" s="155" customFormat="1" ht="24.95" customHeight="1" x14ac:dyDescent="0.5">
      <c r="A35" s="150"/>
      <c r="B35" s="88"/>
      <c r="C35" s="88"/>
      <c r="D35" s="151" t="s">
        <v>71</v>
      </c>
      <c r="E35" s="152"/>
      <c r="F35" s="153" t="s">
        <v>72</v>
      </c>
      <c r="G35" s="153"/>
      <c r="H35" s="154"/>
      <c r="I35" s="150"/>
      <c r="J35" s="150"/>
      <c r="K35" s="88"/>
      <c r="L35" s="88"/>
      <c r="M35" s="151" t="s">
        <v>71</v>
      </c>
      <c r="N35" s="152"/>
      <c r="O35" s="153" t="s">
        <v>72</v>
      </c>
      <c r="P35" s="153"/>
      <c r="Q35" s="84"/>
      <c r="R35" s="150"/>
    </row>
    <row r="36" spans="1:18" s="157" customFormat="1" ht="24.95" customHeight="1" x14ac:dyDescent="0.5">
      <c r="A36" s="150"/>
      <c r="B36" s="88"/>
      <c r="C36" s="88"/>
      <c r="D36" s="151"/>
      <c r="E36" s="152"/>
      <c r="F36" s="153"/>
      <c r="G36" s="153"/>
      <c r="H36" s="156"/>
      <c r="I36" s="88"/>
      <c r="J36" s="150"/>
      <c r="K36" s="88"/>
      <c r="L36" s="88"/>
      <c r="M36" s="151"/>
      <c r="N36" s="152"/>
      <c r="O36" s="153"/>
      <c r="P36" s="153"/>
      <c r="Q36" s="156"/>
      <c r="R36" s="88"/>
    </row>
    <row r="37" spans="1:18" s="88" customFormat="1" ht="24.95" customHeight="1" x14ac:dyDescent="0.5">
      <c r="A37" s="150"/>
      <c r="D37" s="151" t="s">
        <v>73</v>
      </c>
      <c r="E37" s="152"/>
      <c r="F37" s="158" t="s">
        <v>74</v>
      </c>
      <c r="G37" s="158"/>
      <c r="J37" s="150"/>
      <c r="M37" s="151" t="s">
        <v>73</v>
      </c>
      <c r="N37" s="152"/>
      <c r="O37" s="158" t="s">
        <v>74</v>
      </c>
      <c r="P37" s="158"/>
    </row>
  </sheetData>
  <mergeCells count="18">
    <mergeCell ref="F3:I3"/>
    <mergeCell ref="O3:R3"/>
    <mergeCell ref="F1:I2"/>
    <mergeCell ref="O1:R2"/>
    <mergeCell ref="B11:E11"/>
    <mergeCell ref="K11:N11"/>
    <mergeCell ref="C7:I7"/>
    <mergeCell ref="L7:R7"/>
    <mergeCell ref="J6:K6"/>
    <mergeCell ref="L6:R6"/>
    <mergeCell ref="A6:B6"/>
    <mergeCell ref="C6:I6"/>
    <mergeCell ref="A33:C33"/>
    <mergeCell ref="J33:L33"/>
    <mergeCell ref="A29:C29"/>
    <mergeCell ref="J29:L29"/>
    <mergeCell ref="A20:C20"/>
    <mergeCell ref="J20:L20"/>
  </mergeCells>
  <pageMargins left="0.7" right="0.7" top="0.75" bottom="0.75" header="0.3" footer="0.3"/>
  <pageSetup paperSize="9" scale="39" orientation="landscape" r:id="rId1"/>
  <colBreaks count="1" manualBreakCount="1">
    <brk id="9" max="3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view="pageBreakPreview" topLeftCell="A10" zoomScale="40" zoomScaleNormal="40" zoomScaleSheetLayoutView="40" workbookViewId="0">
      <selection activeCell="E50" sqref="E49:E50"/>
    </sheetView>
  </sheetViews>
  <sheetFormatPr defaultRowHeight="23.25" x14ac:dyDescent="0.25"/>
  <cols>
    <col min="1" max="1" width="5.28515625" style="264" customWidth="1"/>
    <col min="2" max="2" width="90.28515625" style="265" customWidth="1"/>
    <col min="3" max="3" width="20" style="265" customWidth="1"/>
    <col min="4" max="4" width="11.7109375" style="265" customWidth="1"/>
    <col min="5" max="6" width="60.7109375" style="264" customWidth="1"/>
    <col min="7" max="7" width="5.7109375" style="265" customWidth="1"/>
    <col min="8" max="8" width="95.7109375" style="265" customWidth="1"/>
    <col min="9" max="9" width="18.5703125" style="265" customWidth="1"/>
    <col min="10" max="10" width="12" style="265" customWidth="1"/>
    <col min="11" max="11" width="60.7109375" style="264" customWidth="1"/>
    <col min="12" max="12" width="55" style="264" customWidth="1"/>
  </cols>
  <sheetData>
    <row r="1" spans="1:12" ht="33.75" customHeight="1" x14ac:dyDescent="0.25">
      <c r="A1" s="303" t="s">
        <v>40</v>
      </c>
      <c r="B1" s="303"/>
      <c r="C1" s="86"/>
      <c r="D1" s="86"/>
      <c r="E1" s="304" t="s">
        <v>41</v>
      </c>
      <c r="F1" s="304"/>
      <c r="G1" s="303" t="s">
        <v>40</v>
      </c>
      <c r="H1" s="303"/>
      <c r="I1" s="86"/>
      <c r="J1" s="86"/>
      <c r="K1" s="304" t="s">
        <v>41</v>
      </c>
      <c r="L1" s="304"/>
    </row>
    <row r="2" spans="1:12" ht="92.25" customHeight="1" x14ac:dyDescent="0.25">
      <c r="A2" s="305" t="s">
        <v>42</v>
      </c>
      <c r="B2" s="305"/>
      <c r="C2" s="86"/>
      <c r="D2" s="86"/>
      <c r="E2" s="304"/>
      <c r="F2" s="304"/>
      <c r="G2" s="305" t="s">
        <v>42</v>
      </c>
      <c r="H2" s="305"/>
      <c r="I2" s="86"/>
      <c r="J2" s="86"/>
      <c r="K2" s="304"/>
      <c r="L2" s="304"/>
    </row>
    <row r="3" spans="1:12" ht="33.75" customHeight="1" x14ac:dyDescent="0.25">
      <c r="A3" s="303" t="s">
        <v>139</v>
      </c>
      <c r="B3" s="303"/>
      <c r="C3" s="86"/>
      <c r="D3" s="86"/>
      <c r="E3" s="304" t="s">
        <v>75</v>
      </c>
      <c r="F3" s="304"/>
      <c r="G3" s="303" t="s">
        <v>139</v>
      </c>
      <c r="H3" s="303"/>
      <c r="I3" s="86"/>
      <c r="J3" s="86"/>
      <c r="K3" s="304" t="s">
        <v>75</v>
      </c>
      <c r="L3" s="304"/>
    </row>
    <row r="4" spans="1:12" ht="33" x14ac:dyDescent="0.25">
      <c r="A4" s="306" t="s">
        <v>45</v>
      </c>
      <c r="B4" s="306"/>
      <c r="C4" s="86"/>
      <c r="D4" s="86"/>
      <c r="E4" s="306" t="s">
        <v>45</v>
      </c>
      <c r="F4" s="306"/>
      <c r="G4" s="306" t="s">
        <v>45</v>
      </c>
      <c r="H4" s="306"/>
      <c r="I4" s="86"/>
      <c r="J4" s="86"/>
      <c r="K4" s="306" t="s">
        <v>45</v>
      </c>
      <c r="L4" s="306"/>
    </row>
    <row r="5" spans="1:12" ht="33.75" x14ac:dyDescent="0.25">
      <c r="A5" s="182"/>
      <c r="B5" s="182"/>
      <c r="C5" s="182"/>
      <c r="D5" s="182"/>
      <c r="E5" s="86"/>
      <c r="F5" s="86"/>
      <c r="G5" s="182"/>
      <c r="H5" s="182"/>
      <c r="I5" s="182"/>
      <c r="J5" s="182"/>
      <c r="K5" s="86"/>
      <c r="L5" s="86"/>
    </row>
    <row r="6" spans="1:12" ht="87.75" customHeight="1" x14ac:dyDescent="0.25">
      <c r="A6" s="308" t="s">
        <v>46</v>
      </c>
      <c r="B6" s="308"/>
      <c r="C6" s="309" t="s">
        <v>47</v>
      </c>
      <c r="D6" s="309"/>
      <c r="E6" s="309"/>
      <c r="F6" s="309"/>
      <c r="G6" s="308" t="s">
        <v>46</v>
      </c>
      <c r="H6" s="308"/>
      <c r="I6" s="309" t="s">
        <v>47</v>
      </c>
      <c r="J6" s="309"/>
      <c r="K6" s="309"/>
      <c r="L6" s="309"/>
    </row>
    <row r="7" spans="1:12" ht="33" customHeight="1" x14ac:dyDescent="0.25">
      <c r="A7" s="183"/>
      <c r="B7" s="183"/>
      <c r="C7" s="309" t="s">
        <v>48</v>
      </c>
      <c r="D7" s="309"/>
      <c r="E7" s="309"/>
      <c r="F7" s="309"/>
      <c r="G7" s="183"/>
      <c r="H7" s="183"/>
      <c r="I7" s="309" t="s">
        <v>48</v>
      </c>
      <c r="J7" s="309"/>
      <c r="K7" s="309"/>
      <c r="L7" s="309"/>
    </row>
    <row r="8" spans="1:12" ht="33" x14ac:dyDescent="0.25">
      <c r="A8" s="183"/>
      <c r="B8" s="183"/>
      <c r="C8" s="184"/>
      <c r="D8" s="184"/>
      <c r="E8" s="184"/>
      <c r="F8" s="184"/>
      <c r="G8" s="183"/>
      <c r="H8" s="183"/>
      <c r="I8" s="184"/>
      <c r="J8" s="184"/>
      <c r="K8" s="184"/>
      <c r="L8" s="184"/>
    </row>
    <row r="9" spans="1:12" ht="44.25" customHeight="1" x14ac:dyDescent="0.25">
      <c r="A9" s="185" t="s">
        <v>49</v>
      </c>
      <c r="B9" s="185"/>
      <c r="C9" s="307" t="s">
        <v>140</v>
      </c>
      <c r="D9" s="307"/>
      <c r="E9" s="307"/>
      <c r="F9" s="185"/>
      <c r="G9" s="185" t="s">
        <v>49</v>
      </c>
      <c r="H9" s="185"/>
      <c r="I9" s="307" t="s">
        <v>141</v>
      </c>
      <c r="J9" s="307"/>
      <c r="K9" s="307"/>
      <c r="L9" s="185"/>
    </row>
    <row r="10" spans="1:12" ht="28.5" thickBot="1" x14ac:dyDescent="0.3">
      <c r="A10" s="75"/>
      <c r="B10" s="186"/>
      <c r="C10" s="187"/>
      <c r="D10" s="187"/>
      <c r="E10" s="188"/>
      <c r="F10" s="75"/>
      <c r="G10" s="75"/>
      <c r="H10" s="186"/>
      <c r="I10" s="189"/>
      <c r="J10" s="189"/>
      <c r="K10" s="188"/>
      <c r="L10" s="75"/>
    </row>
    <row r="11" spans="1:12" ht="81.75" customHeight="1" thickBot="1" x14ac:dyDescent="0.3">
      <c r="A11" s="190"/>
      <c r="B11" s="191"/>
      <c r="C11" s="192" t="s">
        <v>142</v>
      </c>
      <c r="D11" s="192"/>
      <c r="E11" s="193" t="s">
        <v>143</v>
      </c>
      <c r="F11" s="194">
        <v>44658</v>
      </c>
      <c r="G11" s="195"/>
      <c r="H11" s="191"/>
      <c r="I11" s="192" t="str">
        <f>C11</f>
        <v>Выход, гр</v>
      </c>
      <c r="J11" s="192"/>
      <c r="K11" s="193" t="str">
        <f>E11</f>
        <v>Цена Продажная</v>
      </c>
      <c r="L11" s="196">
        <f>F11</f>
        <v>44658</v>
      </c>
    </row>
    <row r="12" spans="1:12" ht="33" customHeight="1" x14ac:dyDescent="0.25">
      <c r="A12" s="197"/>
      <c r="B12" s="198"/>
      <c r="C12" s="199"/>
      <c r="D12" s="198"/>
      <c r="E12" s="200"/>
      <c r="F12" s="201"/>
      <c r="G12" s="202"/>
      <c r="H12" s="203"/>
      <c r="I12" s="204"/>
      <c r="J12" s="203"/>
      <c r="K12" s="205"/>
      <c r="L12" s="206"/>
    </row>
    <row r="13" spans="1:12" ht="30.75" x14ac:dyDescent="0.25">
      <c r="A13" s="207"/>
      <c r="B13" s="208" t="s">
        <v>144</v>
      </c>
      <c r="C13" s="208">
        <v>31</v>
      </c>
      <c r="D13" s="209" t="s">
        <v>145</v>
      </c>
      <c r="E13" s="210"/>
      <c r="F13" s="211"/>
      <c r="G13" s="212"/>
      <c r="H13" s="208" t="str">
        <f>B13</f>
        <v>ЗАВТРАК</v>
      </c>
      <c r="I13" s="208">
        <v>82</v>
      </c>
      <c r="J13" s="209" t="str">
        <f>D13</f>
        <v>чел</v>
      </c>
      <c r="K13" s="210"/>
      <c r="L13" s="211"/>
    </row>
    <row r="14" spans="1:12" ht="30" x14ac:dyDescent="0.25">
      <c r="A14" s="213">
        <v>1</v>
      </c>
      <c r="B14" s="214" t="s">
        <v>107</v>
      </c>
      <c r="C14" s="215" t="s">
        <v>115</v>
      </c>
      <c r="D14" s="215"/>
      <c r="E14" s="210">
        <f>100-19.88-23</f>
        <v>57.120000000000005</v>
      </c>
      <c r="F14" s="216"/>
      <c r="G14" s="213">
        <v>1</v>
      </c>
      <c r="H14" s="214" t="s">
        <v>107</v>
      </c>
      <c r="I14" s="215" t="s">
        <v>115</v>
      </c>
      <c r="J14" s="214"/>
      <c r="K14" s="210">
        <f>100-19.88-23+10.4</f>
        <v>67.52000000000001</v>
      </c>
      <c r="L14" s="217"/>
    </row>
    <row r="15" spans="1:12" ht="30" x14ac:dyDescent="0.25">
      <c r="A15" s="213">
        <f>A14+1</f>
        <v>2</v>
      </c>
      <c r="B15" s="214" t="s">
        <v>92</v>
      </c>
      <c r="C15" s="215" t="s">
        <v>31</v>
      </c>
      <c r="D15" s="215"/>
      <c r="E15" s="210">
        <v>15</v>
      </c>
      <c r="F15" s="216"/>
      <c r="G15" s="213">
        <f>G14+1</f>
        <v>2</v>
      </c>
      <c r="H15" s="214" t="s">
        <v>92</v>
      </c>
      <c r="I15" s="215" t="s">
        <v>32</v>
      </c>
      <c r="J15" s="214"/>
      <c r="K15" s="210">
        <v>15</v>
      </c>
      <c r="L15" s="217"/>
    </row>
    <row r="16" spans="1:12" ht="30" x14ac:dyDescent="0.25">
      <c r="A16" s="213">
        <f>A15+1</f>
        <v>3</v>
      </c>
      <c r="B16" s="214" t="s">
        <v>13</v>
      </c>
      <c r="C16" s="215" t="s">
        <v>12</v>
      </c>
      <c r="D16" s="215"/>
      <c r="E16" s="210">
        <v>10.08</v>
      </c>
      <c r="F16" s="216"/>
      <c r="G16" s="213">
        <f>G15+1</f>
        <v>3</v>
      </c>
      <c r="H16" s="214" t="s">
        <v>13</v>
      </c>
      <c r="I16" s="215" t="s">
        <v>12</v>
      </c>
      <c r="J16" s="214"/>
      <c r="K16" s="210">
        <v>10.08</v>
      </c>
      <c r="L16" s="217"/>
    </row>
    <row r="17" spans="1:12" ht="30" x14ac:dyDescent="0.25">
      <c r="A17" s="213">
        <v>4</v>
      </c>
      <c r="B17" s="214" t="s">
        <v>35</v>
      </c>
      <c r="C17" s="215" t="s">
        <v>8</v>
      </c>
      <c r="D17" s="215"/>
      <c r="E17" s="210"/>
      <c r="F17" s="218"/>
      <c r="G17" s="213">
        <v>4</v>
      </c>
      <c r="H17" s="214" t="s">
        <v>35</v>
      </c>
      <c r="I17" s="215" t="s">
        <v>8</v>
      </c>
      <c r="J17" s="214"/>
      <c r="K17" s="210"/>
      <c r="L17" s="217"/>
    </row>
    <row r="18" spans="1:12" ht="26.25" customHeight="1" x14ac:dyDescent="0.25">
      <c r="A18" s="213">
        <v>5</v>
      </c>
      <c r="B18" s="214" t="s">
        <v>122</v>
      </c>
      <c r="C18" s="215" t="s">
        <v>64</v>
      </c>
      <c r="D18" s="215"/>
      <c r="E18" s="210"/>
      <c r="F18" s="218"/>
      <c r="G18" s="213">
        <v>5</v>
      </c>
      <c r="H18" s="214" t="s">
        <v>122</v>
      </c>
      <c r="I18" s="215" t="s">
        <v>64</v>
      </c>
      <c r="J18" s="214"/>
      <c r="K18" s="210"/>
      <c r="L18" s="217"/>
    </row>
    <row r="19" spans="1:12" ht="30" x14ac:dyDescent="0.25">
      <c r="A19" s="213"/>
      <c r="B19" s="214"/>
      <c r="C19" s="215"/>
      <c r="D19" s="215"/>
      <c r="E19" s="210"/>
      <c r="F19" s="219"/>
      <c r="G19" s="213"/>
      <c r="H19" s="214"/>
      <c r="I19" s="215"/>
      <c r="J19" s="214"/>
      <c r="K19" s="210"/>
      <c r="L19" s="219"/>
    </row>
    <row r="20" spans="1:12" ht="30" x14ac:dyDescent="0.25">
      <c r="A20" s="213"/>
      <c r="B20" s="214"/>
      <c r="C20" s="215"/>
      <c r="D20" s="215"/>
      <c r="E20" s="210"/>
      <c r="F20" s="219"/>
      <c r="G20" s="213"/>
      <c r="H20" s="214"/>
      <c r="I20" s="215"/>
      <c r="J20" s="215"/>
      <c r="K20" s="210"/>
      <c r="L20" s="219"/>
    </row>
    <row r="21" spans="1:12" ht="30.75" x14ac:dyDescent="0.25">
      <c r="A21" s="207"/>
      <c r="B21" s="220" t="s">
        <v>0</v>
      </c>
      <c r="C21" s="221"/>
      <c r="D21" s="222"/>
      <c r="E21" s="210">
        <v>115.2</v>
      </c>
      <c r="F21" s="223">
        <f>107.27-E21</f>
        <v>-7.9300000000000068</v>
      </c>
      <c r="G21" s="212"/>
      <c r="H21" s="220" t="s">
        <v>0</v>
      </c>
      <c r="I21" s="221"/>
      <c r="J21" s="222"/>
      <c r="K21" s="210">
        <v>138.6</v>
      </c>
      <c r="L21" s="223">
        <f>129.4-K21</f>
        <v>-9.1999999999999886</v>
      </c>
    </row>
    <row r="22" spans="1:12" ht="30.75" x14ac:dyDescent="0.25">
      <c r="A22" s="207"/>
      <c r="B22" s="224"/>
      <c r="C22" s="225"/>
      <c r="D22" s="224"/>
      <c r="E22" s="210"/>
      <c r="F22" s="217"/>
      <c r="G22" s="226"/>
      <c r="H22" s="224"/>
      <c r="I22" s="225"/>
      <c r="J22" s="227"/>
      <c r="K22" s="210"/>
      <c r="L22" s="228"/>
    </row>
    <row r="23" spans="1:12" ht="30.75" x14ac:dyDescent="0.25">
      <c r="A23" s="207"/>
      <c r="B23" s="229" t="s">
        <v>147</v>
      </c>
      <c r="C23" s="230" t="s">
        <v>148</v>
      </c>
      <c r="D23" s="209" t="s">
        <v>145</v>
      </c>
      <c r="E23" s="210"/>
      <c r="F23" s="219"/>
      <c r="G23" s="207"/>
      <c r="H23" s="229" t="s">
        <v>147</v>
      </c>
      <c r="I23" s="230" t="s">
        <v>161</v>
      </c>
      <c r="J23" s="231" t="str">
        <f>D23</f>
        <v>чел</v>
      </c>
      <c r="K23" s="210"/>
      <c r="L23" s="219"/>
    </row>
    <row r="24" spans="1:12" ht="62.25" customHeight="1" x14ac:dyDescent="0.25">
      <c r="A24" s="213">
        <f>A23+1</f>
        <v>1</v>
      </c>
      <c r="B24" s="214" t="s">
        <v>123</v>
      </c>
      <c r="C24" s="215" t="s">
        <v>37</v>
      </c>
      <c r="D24" s="215"/>
      <c r="E24" s="210">
        <v>20</v>
      </c>
      <c r="F24" s="232"/>
      <c r="G24" s="213">
        <f>G23+1</f>
        <v>1</v>
      </c>
      <c r="H24" s="214" t="s">
        <v>123</v>
      </c>
      <c r="I24" s="215" t="s">
        <v>37</v>
      </c>
      <c r="J24" s="214"/>
      <c r="K24" s="210">
        <v>20</v>
      </c>
      <c r="L24" s="232"/>
    </row>
    <row r="25" spans="1:12" ht="30" x14ac:dyDescent="0.25">
      <c r="A25" s="213">
        <f>A24+1</f>
        <v>2</v>
      </c>
      <c r="B25" s="214" t="s">
        <v>120</v>
      </c>
      <c r="C25" s="215" t="s">
        <v>36</v>
      </c>
      <c r="D25" s="215"/>
      <c r="E25" s="210">
        <v>80</v>
      </c>
      <c r="F25" s="232"/>
      <c r="G25" s="213">
        <f>G24+1</f>
        <v>2</v>
      </c>
      <c r="H25" s="214" t="s">
        <v>120</v>
      </c>
      <c r="I25" s="215" t="s">
        <v>36</v>
      </c>
      <c r="J25" s="214"/>
      <c r="K25" s="210">
        <v>80</v>
      </c>
      <c r="L25" s="232"/>
    </row>
    <row r="26" spans="1:12" ht="30" x14ac:dyDescent="0.25">
      <c r="A26" s="213">
        <f>A25+1</f>
        <v>3</v>
      </c>
      <c r="B26" s="214" t="s">
        <v>112</v>
      </c>
      <c r="C26" s="215" t="s">
        <v>64</v>
      </c>
      <c r="D26" s="215"/>
      <c r="E26" s="210">
        <f>69.6-7.5</f>
        <v>62.099999999999994</v>
      </c>
      <c r="F26" s="218"/>
      <c r="G26" s="213">
        <f>G25+1</f>
        <v>3</v>
      </c>
      <c r="H26" s="214" t="s">
        <v>112</v>
      </c>
      <c r="I26" s="215" t="s">
        <v>64</v>
      </c>
      <c r="J26" s="214"/>
      <c r="K26" s="210">
        <f>62.1*1.2-2.82</f>
        <v>71.7</v>
      </c>
      <c r="L26" s="218"/>
    </row>
    <row r="27" spans="1:12" ht="30.75" x14ac:dyDescent="0.25">
      <c r="A27" s="213">
        <f>A26+1</f>
        <v>4</v>
      </c>
      <c r="B27" s="214" t="s">
        <v>113</v>
      </c>
      <c r="C27" s="215" t="s">
        <v>31</v>
      </c>
      <c r="D27" s="215"/>
      <c r="E27" s="210">
        <v>15</v>
      </c>
      <c r="F27" s="228"/>
      <c r="G27" s="213">
        <f>G26+1</f>
        <v>4</v>
      </c>
      <c r="H27" s="214" t="s">
        <v>113</v>
      </c>
      <c r="I27" s="215" t="s">
        <v>32</v>
      </c>
      <c r="J27" s="214"/>
      <c r="K27" s="210">
        <v>18</v>
      </c>
      <c r="L27" s="218"/>
    </row>
    <row r="28" spans="1:12" ht="30.75" x14ac:dyDescent="0.25">
      <c r="A28" s="213">
        <f>A27+1</f>
        <v>5</v>
      </c>
      <c r="B28" s="214" t="s">
        <v>94</v>
      </c>
      <c r="C28" s="215" t="s">
        <v>8</v>
      </c>
      <c r="D28" s="215"/>
      <c r="E28" s="210">
        <v>20</v>
      </c>
      <c r="F28" s="228"/>
      <c r="G28" s="213">
        <f>G27+1</f>
        <v>5</v>
      </c>
      <c r="H28" s="214" t="s">
        <v>94</v>
      </c>
      <c r="I28" s="215" t="s">
        <v>8</v>
      </c>
      <c r="J28" s="214"/>
      <c r="K28" s="210">
        <v>20</v>
      </c>
      <c r="L28" s="218"/>
    </row>
    <row r="29" spans="1:12" ht="33" customHeight="1" x14ac:dyDescent="0.25">
      <c r="A29" s="213">
        <v>6</v>
      </c>
      <c r="B29" s="214" t="s">
        <v>6</v>
      </c>
      <c r="C29" s="215" t="s">
        <v>3</v>
      </c>
      <c r="D29" s="215"/>
      <c r="E29" s="210">
        <v>7.5</v>
      </c>
      <c r="F29" s="228"/>
      <c r="G29" s="213">
        <v>6</v>
      </c>
      <c r="H29" s="214" t="s">
        <v>6</v>
      </c>
      <c r="I29" s="215" t="s">
        <v>3</v>
      </c>
      <c r="J29" s="214"/>
      <c r="K29" s="210">
        <v>7.5</v>
      </c>
      <c r="L29" s="218"/>
    </row>
    <row r="30" spans="1:12" ht="28.5" customHeight="1" x14ac:dyDescent="0.25">
      <c r="A30" s="213"/>
      <c r="B30" s="214" t="s">
        <v>4</v>
      </c>
      <c r="C30" s="215" t="s">
        <v>3</v>
      </c>
      <c r="D30" s="215"/>
      <c r="E30" s="210"/>
      <c r="F30" s="228"/>
      <c r="G30" s="213">
        <v>7</v>
      </c>
      <c r="H30" s="214" t="s">
        <v>4</v>
      </c>
      <c r="I30" s="215" t="s">
        <v>3</v>
      </c>
      <c r="J30" s="214"/>
      <c r="K30" s="210"/>
      <c r="L30" s="218"/>
    </row>
    <row r="31" spans="1:12" ht="30.75" x14ac:dyDescent="0.25">
      <c r="A31" s="207"/>
      <c r="B31" s="214"/>
      <c r="C31" s="215"/>
      <c r="D31" s="215"/>
      <c r="E31" s="210"/>
      <c r="F31" s="228"/>
      <c r="G31" s="212"/>
      <c r="H31" s="214"/>
      <c r="I31" s="215"/>
      <c r="J31" s="214"/>
      <c r="K31" s="210"/>
      <c r="L31" s="228"/>
    </row>
    <row r="32" spans="1:12" ht="30.75" x14ac:dyDescent="0.25">
      <c r="A32" s="207"/>
      <c r="B32" s="233"/>
      <c r="C32" s="234"/>
      <c r="D32" s="222"/>
      <c r="E32" s="210"/>
      <c r="F32" s="228"/>
      <c r="G32" s="207"/>
      <c r="H32" s="233"/>
      <c r="I32" s="234"/>
      <c r="J32" s="221"/>
      <c r="K32" s="210"/>
      <c r="L32" s="228"/>
    </row>
    <row r="33" spans="1:12" ht="30.75" x14ac:dyDescent="0.25">
      <c r="A33" s="207"/>
      <c r="B33" s="235" t="s">
        <v>0</v>
      </c>
      <c r="C33" s="221"/>
      <c r="D33" s="222"/>
      <c r="E33" s="210">
        <v>210.6</v>
      </c>
      <c r="F33" s="223">
        <f>197.87-E33</f>
        <v>-12.72999999999999</v>
      </c>
      <c r="G33" s="207"/>
      <c r="H33" s="235" t="s">
        <v>0</v>
      </c>
      <c r="I33" s="221"/>
      <c r="J33" s="221"/>
      <c r="K33" s="210">
        <v>223.2</v>
      </c>
      <c r="L33" s="223">
        <f>209.73-K33</f>
        <v>-13.469999999999999</v>
      </c>
    </row>
    <row r="34" spans="1:12" ht="30.75" x14ac:dyDescent="0.25">
      <c r="A34" s="207"/>
      <c r="B34" s="227"/>
      <c r="C34" s="236"/>
      <c r="D34" s="222"/>
      <c r="E34" s="210"/>
      <c r="F34" s="228"/>
      <c r="G34" s="207"/>
      <c r="H34" s="227"/>
      <c r="I34" s="236"/>
      <c r="J34" s="221"/>
      <c r="K34" s="210"/>
      <c r="L34" s="228"/>
    </row>
    <row r="35" spans="1:12" ht="30.75" x14ac:dyDescent="0.25">
      <c r="A35" s="207"/>
      <c r="B35" s="229"/>
      <c r="C35" s="237"/>
      <c r="D35" s="209"/>
      <c r="E35" s="210"/>
      <c r="F35" s="219"/>
      <c r="G35" s="207"/>
      <c r="H35" s="229"/>
      <c r="I35" s="237"/>
      <c r="J35" s="231"/>
      <c r="K35" s="210"/>
      <c r="L35" s="219"/>
    </row>
    <row r="36" spans="1:12" ht="30.75" x14ac:dyDescent="0.25">
      <c r="A36" s="207"/>
      <c r="B36" s="229" t="s">
        <v>152</v>
      </c>
      <c r="C36" s="208">
        <v>30</v>
      </c>
      <c r="D36" s="209" t="s">
        <v>145</v>
      </c>
      <c r="E36" s="210"/>
      <c r="F36" s="238"/>
      <c r="G36" s="207"/>
      <c r="H36" s="229" t="s">
        <v>152</v>
      </c>
      <c r="I36" s="208">
        <v>9</v>
      </c>
      <c r="J36" s="231" t="str">
        <f>D36</f>
        <v>чел</v>
      </c>
      <c r="K36" s="210"/>
      <c r="L36" s="238"/>
    </row>
    <row r="37" spans="1:12" ht="30" x14ac:dyDescent="0.25">
      <c r="A37" s="213">
        <v>1</v>
      </c>
      <c r="B37" s="214" t="s">
        <v>162</v>
      </c>
      <c r="C37" s="215" t="s">
        <v>8</v>
      </c>
      <c r="D37" s="214"/>
      <c r="E37" s="210">
        <f>82.5-20</f>
        <v>62.5</v>
      </c>
      <c r="F37" s="218"/>
      <c r="G37" s="213">
        <f>A37</f>
        <v>1</v>
      </c>
      <c r="H37" s="214" t="s">
        <v>162</v>
      </c>
      <c r="I37" s="215" t="s">
        <v>8</v>
      </c>
      <c r="J37" s="215"/>
      <c r="K37" s="210">
        <f>82.5-20</f>
        <v>62.5</v>
      </c>
      <c r="L37" s="217"/>
    </row>
    <row r="38" spans="1:12" ht="30" x14ac:dyDescent="0.25">
      <c r="A38" s="213">
        <f>A37+1</f>
        <v>2</v>
      </c>
      <c r="B38" s="214" t="s">
        <v>121</v>
      </c>
      <c r="C38" s="215" t="s">
        <v>33</v>
      </c>
      <c r="D38" s="214"/>
      <c r="E38" s="210">
        <v>34.700000000000003</v>
      </c>
      <c r="F38" s="218"/>
      <c r="G38" s="213">
        <f>A38</f>
        <v>2</v>
      </c>
      <c r="H38" s="214" t="s">
        <v>121</v>
      </c>
      <c r="I38" s="215" t="s">
        <v>34</v>
      </c>
      <c r="J38" s="215"/>
      <c r="K38" s="210">
        <v>43.7</v>
      </c>
      <c r="L38" s="217"/>
    </row>
    <row r="39" spans="1:12" ht="30" x14ac:dyDescent="0.25">
      <c r="A39" s="213"/>
      <c r="B39" s="214"/>
      <c r="C39" s="215"/>
      <c r="D39" s="214"/>
      <c r="E39" s="210"/>
      <c r="F39" s="218"/>
      <c r="G39" s="213"/>
      <c r="H39" s="214"/>
      <c r="I39" s="239"/>
      <c r="J39" s="215"/>
      <c r="K39" s="210"/>
      <c r="L39" s="217"/>
    </row>
    <row r="40" spans="1:12" ht="30.75" x14ac:dyDescent="0.25">
      <c r="A40" s="240"/>
      <c r="B40" s="214"/>
      <c r="C40" s="215"/>
      <c r="D40" s="215"/>
      <c r="E40" s="210"/>
      <c r="F40" s="241"/>
      <c r="G40" s="207"/>
      <c r="H40" s="214"/>
      <c r="I40" s="215"/>
      <c r="J40" s="215"/>
      <c r="K40" s="210"/>
      <c r="L40" s="219"/>
    </row>
    <row r="41" spans="1:12" ht="30.75" x14ac:dyDescent="0.25">
      <c r="A41" s="207"/>
      <c r="B41" s="220" t="s">
        <v>0</v>
      </c>
      <c r="C41" s="221"/>
      <c r="D41" s="222"/>
      <c r="E41" s="210">
        <v>97.2</v>
      </c>
      <c r="F41" s="223">
        <f>89.6-E41</f>
        <v>-7.6000000000000085</v>
      </c>
      <c r="G41" s="207"/>
      <c r="H41" s="235" t="str">
        <f>B41</f>
        <v>Итого:</v>
      </c>
      <c r="I41" s="221"/>
      <c r="J41" s="221"/>
      <c r="K41" s="210">
        <v>106.2</v>
      </c>
      <c r="L41" s="223">
        <f>98.6-K41</f>
        <v>-7.6000000000000085</v>
      </c>
    </row>
    <row r="42" spans="1:12" ht="27.75" x14ac:dyDescent="0.25">
      <c r="A42" s="240"/>
      <c r="B42" s="242"/>
      <c r="C42" s="242"/>
      <c r="D42" s="242"/>
      <c r="E42" s="243"/>
      <c r="F42" s="241"/>
      <c r="G42" s="244"/>
      <c r="H42" s="242"/>
      <c r="I42" s="242"/>
      <c r="J42" s="242"/>
      <c r="K42" s="245"/>
      <c r="L42" s="241"/>
    </row>
    <row r="43" spans="1:12" ht="26.25" x14ac:dyDescent="0.25">
      <c r="A43" s="246"/>
      <c r="B43" s="247"/>
      <c r="C43" s="248"/>
      <c r="D43" s="247"/>
      <c r="E43" s="249"/>
      <c r="F43" s="250"/>
      <c r="G43" s="251"/>
      <c r="H43" s="247"/>
      <c r="I43" s="248"/>
      <c r="J43" s="247"/>
      <c r="K43" s="249"/>
      <c r="L43" s="250"/>
    </row>
    <row r="44" spans="1:12" ht="30.75" x14ac:dyDescent="0.25">
      <c r="A44" s="207"/>
      <c r="B44" s="252" t="s">
        <v>71</v>
      </c>
      <c r="C44" s="222"/>
      <c r="D44" s="253" t="s">
        <v>72</v>
      </c>
      <c r="E44" s="254"/>
      <c r="F44" s="211"/>
      <c r="G44" s="212"/>
      <c r="H44" s="252" t="str">
        <f>B44</f>
        <v>Бухгалтер</v>
      </c>
      <c r="I44" s="222"/>
      <c r="J44" s="253" t="str">
        <f>D44</f>
        <v>Гудым Д.С.</v>
      </c>
      <c r="K44" s="254"/>
      <c r="L44" s="211"/>
    </row>
    <row r="45" spans="1:12" ht="31.5" thickBot="1" x14ac:dyDescent="0.3">
      <c r="A45" s="255"/>
      <c r="B45" s="256" t="s">
        <v>154</v>
      </c>
      <c r="C45" s="257"/>
      <c r="D45" s="258" t="s">
        <v>74</v>
      </c>
      <c r="E45" s="259"/>
      <c r="F45" s="260"/>
      <c r="G45" s="255"/>
      <c r="H45" s="256" t="str">
        <f>B45</f>
        <v>Зав.производством</v>
      </c>
      <c r="I45" s="257"/>
      <c r="J45" s="261" t="str">
        <f>D45</f>
        <v>Катанцева Я.В.</v>
      </c>
      <c r="K45" s="259"/>
      <c r="L45" s="260"/>
    </row>
    <row r="46" spans="1:12" ht="22.5" x14ac:dyDescent="0.25">
      <c r="A46" s="262"/>
      <c r="B46" s="263"/>
      <c r="C46" s="263"/>
      <c r="D46" s="263"/>
      <c r="E46" s="262"/>
      <c r="F46" s="262"/>
      <c r="G46" s="263"/>
      <c r="H46" s="263"/>
      <c r="I46" s="263"/>
      <c r="J46" s="263"/>
      <c r="K46" s="262"/>
      <c r="L46" s="262"/>
    </row>
    <row r="47" spans="1:12" ht="22.5" x14ac:dyDescent="0.25">
      <c r="A47" s="262"/>
      <c r="B47" s="263"/>
      <c r="C47" s="263"/>
      <c r="D47" s="263"/>
      <c r="E47" s="262"/>
      <c r="F47" s="262"/>
      <c r="G47" s="263"/>
      <c r="H47" s="263"/>
      <c r="I47" s="263"/>
      <c r="J47" s="263"/>
      <c r="K47" s="262"/>
      <c r="L47" s="262"/>
    </row>
    <row r="48" spans="1:12" ht="22.5" x14ac:dyDescent="0.25">
      <c r="A48" s="262"/>
      <c r="B48" s="263"/>
      <c r="C48" s="263"/>
      <c r="D48" s="263"/>
      <c r="E48" s="262"/>
      <c r="F48" s="262"/>
      <c r="G48" s="263"/>
      <c r="H48" s="263"/>
      <c r="I48" s="263"/>
      <c r="J48" s="263"/>
      <c r="K48" s="262"/>
      <c r="L48" s="262"/>
    </row>
    <row r="49" spans="1:12" ht="30" x14ac:dyDescent="0.25">
      <c r="A49" s="262"/>
      <c r="B49" s="214"/>
      <c r="C49" s="215"/>
      <c r="D49" s="215"/>
      <c r="E49" s="215"/>
      <c r="F49" s="262"/>
      <c r="G49" s="263"/>
      <c r="H49" s="263"/>
      <c r="I49" s="263"/>
      <c r="J49" s="263"/>
      <c r="K49" s="262"/>
      <c r="L49" s="262"/>
    </row>
  </sheetData>
  <mergeCells count="22">
    <mergeCell ref="C9:E9"/>
    <mergeCell ref="I9:K9"/>
    <mergeCell ref="A6:B6"/>
    <mergeCell ref="C6:F6"/>
    <mergeCell ref="G6:H6"/>
    <mergeCell ref="I6:L6"/>
    <mergeCell ref="C7:F7"/>
    <mergeCell ref="I7:L7"/>
    <mergeCell ref="A3:B3"/>
    <mergeCell ref="E3:F3"/>
    <mergeCell ref="G3:H3"/>
    <mergeCell ref="K3:L3"/>
    <mergeCell ref="A4:B4"/>
    <mergeCell ref="E4:F4"/>
    <mergeCell ref="G4:H4"/>
    <mergeCell ref="K4:L4"/>
    <mergeCell ref="A1:B1"/>
    <mergeCell ref="E1:F2"/>
    <mergeCell ref="G1:H1"/>
    <mergeCell ref="K1:L2"/>
    <mergeCell ref="A2:B2"/>
    <mergeCell ref="G2:H2"/>
  </mergeCells>
  <pageMargins left="0.7" right="0.7" top="0.75" bottom="0.75" header="0.3" footer="0.3"/>
  <pageSetup paperSize="9" scale="35" orientation="portrait" r:id="rId1"/>
  <colBreaks count="1" manualBreakCount="1">
    <brk id="6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view="pageBreakPreview" zoomScale="40" zoomScaleNormal="60" zoomScaleSheetLayoutView="40" workbookViewId="0">
      <selection activeCell="M30" sqref="M30:N32"/>
    </sheetView>
  </sheetViews>
  <sheetFormatPr defaultRowHeight="18.75" x14ac:dyDescent="0.3"/>
  <cols>
    <col min="1" max="2" width="25.7109375" style="80" customWidth="1"/>
    <col min="3" max="3" width="15.7109375" style="80" customWidth="1"/>
    <col min="4" max="4" width="83.28515625" style="80" customWidth="1"/>
    <col min="5" max="5" width="25.7109375" style="80" customWidth="1"/>
    <col min="6" max="6" width="27.42578125" style="80" customWidth="1"/>
    <col min="7" max="7" width="22.7109375" style="80" customWidth="1"/>
    <col min="8" max="8" width="24.5703125" style="80" customWidth="1"/>
    <col min="9" max="9" width="36.5703125" style="80" customWidth="1"/>
    <col min="10" max="11" width="25.7109375" style="80" customWidth="1"/>
    <col min="12" max="12" width="15.7109375" style="80" customWidth="1"/>
    <col min="13" max="13" width="82.28515625" style="80" customWidth="1"/>
    <col min="14" max="14" width="25.7109375" style="80" customWidth="1"/>
    <col min="15" max="15" width="25.5703125" style="80" customWidth="1"/>
    <col min="16" max="16" width="26.42578125" style="80" customWidth="1"/>
    <col min="17" max="17" width="23.42578125" style="80" customWidth="1"/>
    <col min="18" max="18" width="40.42578125" style="80" customWidth="1"/>
  </cols>
  <sheetData>
    <row r="1" spans="1:18" s="4" customFormat="1" ht="30" customHeight="1" x14ac:dyDescent="0.55000000000000004">
      <c r="A1" s="1" t="s">
        <v>40</v>
      </c>
      <c r="B1" s="1"/>
      <c r="C1" s="2"/>
      <c r="D1" s="2"/>
      <c r="E1" s="3"/>
      <c r="F1" s="320" t="s">
        <v>41</v>
      </c>
      <c r="G1" s="320"/>
      <c r="H1" s="320"/>
      <c r="I1" s="320"/>
      <c r="J1" s="1" t="s">
        <v>40</v>
      </c>
      <c r="K1" s="1"/>
      <c r="L1" s="2"/>
      <c r="M1" s="2"/>
      <c r="N1" s="3"/>
      <c r="O1" s="320" t="s">
        <v>41</v>
      </c>
      <c r="P1" s="320"/>
      <c r="Q1" s="320"/>
      <c r="R1" s="320"/>
    </row>
    <row r="2" spans="1:18" s="4" customFormat="1" ht="42" customHeight="1" x14ac:dyDescent="0.55000000000000004">
      <c r="A2" s="1" t="s">
        <v>42</v>
      </c>
      <c r="B2" s="1"/>
      <c r="C2" s="5"/>
      <c r="D2" s="5"/>
      <c r="E2" s="3"/>
      <c r="F2" s="320"/>
      <c r="G2" s="320"/>
      <c r="H2" s="320"/>
      <c r="I2" s="320"/>
      <c r="J2" s="1" t="s">
        <v>42</v>
      </c>
      <c r="K2" s="1"/>
      <c r="L2" s="5"/>
      <c r="M2" s="5"/>
      <c r="N2" s="3"/>
      <c r="O2" s="320"/>
      <c r="P2" s="320"/>
      <c r="Q2" s="320"/>
      <c r="R2" s="320"/>
    </row>
    <row r="3" spans="1:18" s="4" customFormat="1" ht="42" customHeight="1" x14ac:dyDescent="0.55000000000000004">
      <c r="A3" s="2" t="s">
        <v>44</v>
      </c>
      <c r="B3" s="2"/>
      <c r="C3" s="2"/>
      <c r="D3" s="2"/>
      <c r="E3" s="3"/>
      <c r="F3" s="319" t="s">
        <v>43</v>
      </c>
      <c r="G3" s="319"/>
      <c r="H3" s="319"/>
      <c r="I3" s="319"/>
      <c r="J3" s="2" t="s">
        <v>44</v>
      </c>
      <c r="K3" s="2"/>
      <c r="L3" s="2"/>
      <c r="M3" s="2"/>
      <c r="N3" s="3"/>
      <c r="O3" s="319" t="s">
        <v>43</v>
      </c>
      <c r="P3" s="319"/>
      <c r="Q3" s="319"/>
      <c r="R3" s="319"/>
    </row>
    <row r="4" spans="1:18" s="4" customFormat="1" ht="30" customHeight="1" x14ac:dyDescent="0.55000000000000004">
      <c r="A4" s="2" t="s">
        <v>45</v>
      </c>
      <c r="B4" s="2"/>
      <c r="C4" s="2"/>
      <c r="D4" s="2"/>
      <c r="E4" s="3"/>
      <c r="F4" s="2" t="s">
        <v>45</v>
      </c>
      <c r="G4" s="2"/>
      <c r="H4" s="6"/>
      <c r="I4" s="6"/>
      <c r="J4" s="2" t="s">
        <v>45</v>
      </c>
      <c r="K4" s="2"/>
      <c r="L4" s="2"/>
      <c r="M4" s="2"/>
      <c r="N4" s="3"/>
      <c r="O4" s="2" t="s">
        <v>45</v>
      </c>
      <c r="P4" s="2"/>
      <c r="Q4" s="6"/>
      <c r="R4" s="6"/>
    </row>
    <row r="5" spans="1:18" s="4" customFormat="1" ht="30" customHeight="1" x14ac:dyDescent="0.55000000000000004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s="4" customFormat="1" ht="30" customHeight="1" x14ac:dyDescent="0.55000000000000004">
      <c r="A6" s="323" t="s">
        <v>46</v>
      </c>
      <c r="B6" s="323"/>
      <c r="C6" s="322" t="s">
        <v>47</v>
      </c>
      <c r="D6" s="322"/>
      <c r="E6" s="322"/>
      <c r="F6" s="322"/>
      <c r="G6" s="322"/>
      <c r="H6" s="322"/>
      <c r="I6" s="322"/>
      <c r="J6" s="323" t="s">
        <v>46</v>
      </c>
      <c r="K6" s="323"/>
      <c r="L6" s="322" t="s">
        <v>47</v>
      </c>
      <c r="M6" s="322"/>
      <c r="N6" s="322"/>
      <c r="O6" s="322"/>
      <c r="P6" s="322"/>
      <c r="Q6" s="322"/>
      <c r="R6" s="322"/>
    </row>
    <row r="7" spans="1:18" s="4" customFormat="1" ht="30" customHeight="1" x14ac:dyDescent="0.55000000000000004">
      <c r="A7" s="8"/>
      <c r="B7" s="8"/>
      <c r="C7" s="322" t="s">
        <v>48</v>
      </c>
      <c r="D7" s="322"/>
      <c r="E7" s="322"/>
      <c r="F7" s="322"/>
      <c r="G7" s="322"/>
      <c r="H7" s="322"/>
      <c r="I7" s="322"/>
      <c r="J7" s="8"/>
      <c r="K7" s="8"/>
      <c r="L7" s="322" t="s">
        <v>48</v>
      </c>
      <c r="M7" s="322"/>
      <c r="N7" s="322"/>
      <c r="O7" s="322"/>
      <c r="P7" s="322"/>
      <c r="Q7" s="322"/>
      <c r="R7" s="322"/>
    </row>
    <row r="8" spans="1:18" s="4" customFormat="1" ht="30" customHeight="1" x14ac:dyDescent="0.55000000000000004">
      <c r="A8" s="8"/>
      <c r="B8" s="8"/>
      <c r="C8" s="9"/>
      <c r="D8" s="9"/>
      <c r="E8" s="9"/>
      <c r="F8" s="9"/>
      <c r="G8" s="9"/>
      <c r="H8" s="9"/>
      <c r="I8" s="9"/>
      <c r="J8" s="8"/>
      <c r="K8" s="8"/>
      <c r="L8" s="9"/>
      <c r="M8" s="9"/>
      <c r="N8" s="9"/>
      <c r="O8" s="9"/>
      <c r="P8" s="9"/>
      <c r="Q8" s="9"/>
      <c r="R8" s="9"/>
    </row>
    <row r="9" spans="1:18" s="4" customFormat="1" ht="30" customHeight="1" x14ac:dyDescent="0.55000000000000004">
      <c r="A9" s="10" t="s">
        <v>49</v>
      </c>
      <c r="B9" s="10"/>
      <c r="C9" s="10"/>
      <c r="D9" s="10"/>
      <c r="E9" s="81" t="s">
        <v>50</v>
      </c>
      <c r="F9" s="10"/>
      <c r="G9" s="10"/>
      <c r="H9" s="10"/>
      <c r="I9" s="10"/>
      <c r="J9" s="10" t="s">
        <v>49</v>
      </c>
      <c r="K9" s="10"/>
      <c r="L9" s="10"/>
      <c r="M9" s="10"/>
      <c r="N9" s="81" t="s">
        <v>50</v>
      </c>
      <c r="O9" s="10"/>
      <c r="P9" s="10"/>
      <c r="Q9" s="10"/>
      <c r="R9" s="10"/>
    </row>
    <row r="10" spans="1:18" s="4" customFormat="1" ht="30" customHeight="1" thickBot="1" x14ac:dyDescent="0.6">
      <c r="A10" s="11"/>
      <c r="B10" s="11"/>
      <c r="C10" s="11"/>
      <c r="D10" s="11"/>
      <c r="E10" s="11"/>
      <c r="F10" s="11"/>
      <c r="G10" s="11"/>
      <c r="H10" s="7"/>
      <c r="I10" s="7"/>
      <c r="J10" s="11"/>
      <c r="K10" s="11"/>
      <c r="L10" s="11"/>
      <c r="M10" s="11"/>
      <c r="N10" s="11"/>
      <c r="O10" s="11"/>
      <c r="P10" s="11"/>
      <c r="Q10" s="7"/>
      <c r="R10" s="7"/>
    </row>
    <row r="11" spans="1:18" s="15" customFormat="1" ht="30" customHeight="1" thickBot="1" x14ac:dyDescent="0.5">
      <c r="A11" s="12" t="s">
        <v>28</v>
      </c>
      <c r="B11" s="321" t="s">
        <v>27</v>
      </c>
      <c r="C11" s="321"/>
      <c r="D11" s="321"/>
      <c r="E11" s="321"/>
      <c r="F11" s="13" t="s">
        <v>26</v>
      </c>
      <c r="G11" s="13" t="s">
        <v>25</v>
      </c>
      <c r="H11" s="13" t="s">
        <v>24</v>
      </c>
      <c r="I11" s="14">
        <v>44659</v>
      </c>
      <c r="J11" s="12" t="s">
        <v>28</v>
      </c>
      <c r="K11" s="321" t="s">
        <v>27</v>
      </c>
      <c r="L11" s="321"/>
      <c r="M11" s="321"/>
      <c r="N11" s="321"/>
      <c r="O11" s="13" t="s">
        <v>26</v>
      </c>
      <c r="P11" s="13" t="s">
        <v>29</v>
      </c>
      <c r="Q11" s="13" t="s">
        <v>24</v>
      </c>
      <c r="R11" s="14">
        <f>I11</f>
        <v>44659</v>
      </c>
    </row>
    <row r="12" spans="1:18" s="19" customFormat="1" ht="35.25" customHeight="1" thickBot="1" x14ac:dyDescent="0.3">
      <c r="A12" s="16" t="s">
        <v>23</v>
      </c>
      <c r="B12" s="17" t="s">
        <v>22</v>
      </c>
      <c r="C12" s="17" t="s">
        <v>51</v>
      </c>
      <c r="D12" s="17" t="s">
        <v>21</v>
      </c>
      <c r="E12" s="17" t="s">
        <v>20</v>
      </c>
      <c r="F12" s="17" t="s">
        <v>19</v>
      </c>
      <c r="G12" s="17" t="s">
        <v>18</v>
      </c>
      <c r="H12" s="17" t="s">
        <v>17</v>
      </c>
      <c r="I12" s="18" t="s">
        <v>16</v>
      </c>
      <c r="J12" s="16" t="s">
        <v>23</v>
      </c>
      <c r="K12" s="17" t="s">
        <v>22</v>
      </c>
      <c r="L12" s="17" t="s">
        <v>51</v>
      </c>
      <c r="M12" s="17" t="s">
        <v>21</v>
      </c>
      <c r="N12" s="17" t="s">
        <v>20</v>
      </c>
      <c r="O12" s="17" t="s">
        <v>19</v>
      </c>
      <c r="P12" s="17" t="s">
        <v>18</v>
      </c>
      <c r="Q12" s="17" t="s">
        <v>17</v>
      </c>
      <c r="R12" s="18" t="s">
        <v>16</v>
      </c>
    </row>
    <row r="13" spans="1:18" s="28" customFormat="1" ht="30" customHeight="1" x14ac:dyDescent="0.25">
      <c r="A13" s="20" t="s">
        <v>15</v>
      </c>
      <c r="B13" s="21" t="s">
        <v>38</v>
      </c>
      <c r="C13" s="22">
        <v>31</v>
      </c>
      <c r="D13" s="23" t="s">
        <v>124</v>
      </c>
      <c r="E13" s="24" t="s">
        <v>8</v>
      </c>
      <c r="F13" s="25">
        <v>9.1999999999999993</v>
      </c>
      <c r="G13" s="25">
        <v>7.7</v>
      </c>
      <c r="H13" s="26">
        <v>29.4</v>
      </c>
      <c r="I13" s="27">
        <v>224</v>
      </c>
      <c r="J13" s="20" t="s">
        <v>15</v>
      </c>
      <c r="K13" s="21" t="s">
        <v>38</v>
      </c>
      <c r="L13" s="22">
        <v>80</v>
      </c>
      <c r="M13" s="23" t="s">
        <v>125</v>
      </c>
      <c r="N13" s="24" t="s">
        <v>78</v>
      </c>
      <c r="O13" s="25">
        <v>10</v>
      </c>
      <c r="P13" s="25">
        <v>16.5</v>
      </c>
      <c r="Q13" s="26">
        <v>38.9</v>
      </c>
      <c r="R13" s="27">
        <v>344</v>
      </c>
    </row>
    <row r="14" spans="1:18" s="28" customFormat="1" ht="33.75" customHeight="1" x14ac:dyDescent="0.25">
      <c r="A14" s="29"/>
      <c r="B14" s="37" t="s">
        <v>14</v>
      </c>
      <c r="C14" s="38">
        <f t="shared" ref="C14" si="0">C13</f>
        <v>31</v>
      </c>
      <c r="D14" s="32" t="s">
        <v>13</v>
      </c>
      <c r="E14" s="33" t="s">
        <v>12</v>
      </c>
      <c r="F14" s="34">
        <v>2.2999999999999998</v>
      </c>
      <c r="G14" s="34">
        <v>0.9</v>
      </c>
      <c r="H14" s="35">
        <v>14.9</v>
      </c>
      <c r="I14" s="36">
        <v>77</v>
      </c>
      <c r="J14" s="29"/>
      <c r="K14" s="37" t="s">
        <v>14</v>
      </c>
      <c r="L14" s="38">
        <f t="shared" ref="L14" si="1">L13</f>
        <v>80</v>
      </c>
      <c r="M14" s="32" t="s">
        <v>13</v>
      </c>
      <c r="N14" s="33" t="s">
        <v>12</v>
      </c>
      <c r="O14" s="34">
        <v>2.2999999999999998</v>
      </c>
      <c r="P14" s="34">
        <v>0.9</v>
      </c>
      <c r="Q14" s="35">
        <v>14.9</v>
      </c>
      <c r="R14" s="36">
        <v>77</v>
      </c>
    </row>
    <row r="15" spans="1:18" s="28" customFormat="1" ht="33.75" customHeight="1" x14ac:dyDescent="0.4">
      <c r="A15" s="29"/>
      <c r="B15" s="30" t="s">
        <v>79</v>
      </c>
      <c r="C15" s="31">
        <f>C14</f>
        <v>31</v>
      </c>
      <c r="D15" s="32" t="s">
        <v>80</v>
      </c>
      <c r="E15" s="33" t="s">
        <v>81</v>
      </c>
      <c r="F15" s="34">
        <v>5.0000000000000001E-3</v>
      </c>
      <c r="G15" s="34">
        <v>8.1999999999999993</v>
      </c>
      <c r="H15" s="35">
        <v>0.1</v>
      </c>
      <c r="I15" s="36">
        <v>75</v>
      </c>
      <c r="J15" s="29"/>
      <c r="K15" s="30" t="s">
        <v>79</v>
      </c>
      <c r="L15" s="31">
        <f>L14</f>
        <v>80</v>
      </c>
      <c r="M15" s="32" t="s">
        <v>80</v>
      </c>
      <c r="N15" s="33" t="s">
        <v>81</v>
      </c>
      <c r="O15" s="34">
        <v>5.0000000000000001E-3</v>
      </c>
      <c r="P15" s="34">
        <v>8.1999999999999993</v>
      </c>
      <c r="Q15" s="35">
        <v>0.1</v>
      </c>
      <c r="R15" s="36">
        <v>75</v>
      </c>
    </row>
    <row r="16" spans="1:18" s="28" customFormat="1" ht="33.75" customHeight="1" x14ac:dyDescent="0.25">
      <c r="A16" s="29"/>
      <c r="B16" s="37" t="s">
        <v>1</v>
      </c>
      <c r="C16" s="38">
        <f>C15</f>
        <v>31</v>
      </c>
      <c r="D16" s="32" t="s">
        <v>35</v>
      </c>
      <c r="E16" s="33" t="s">
        <v>8</v>
      </c>
      <c r="F16" s="34">
        <v>0</v>
      </c>
      <c r="G16" s="34">
        <v>0</v>
      </c>
      <c r="H16" s="35">
        <v>10</v>
      </c>
      <c r="I16" s="36">
        <v>40</v>
      </c>
      <c r="J16" s="29"/>
      <c r="K16" s="37" t="s">
        <v>1</v>
      </c>
      <c r="L16" s="38">
        <f>L15</f>
        <v>80</v>
      </c>
      <c r="M16" s="32" t="s">
        <v>35</v>
      </c>
      <c r="N16" s="33" t="s">
        <v>8</v>
      </c>
      <c r="O16" s="34">
        <v>0</v>
      </c>
      <c r="P16" s="34">
        <v>0</v>
      </c>
      <c r="Q16" s="35">
        <v>10</v>
      </c>
      <c r="R16" s="36">
        <v>40</v>
      </c>
    </row>
    <row r="17" spans="1:18" s="28" customFormat="1" ht="33.75" customHeight="1" x14ac:dyDescent="0.25">
      <c r="A17" s="29"/>
      <c r="B17" s="37" t="s">
        <v>83</v>
      </c>
      <c r="C17" s="38">
        <f>C16</f>
        <v>31</v>
      </c>
      <c r="D17" s="32" t="s">
        <v>84</v>
      </c>
      <c r="E17" s="33" t="s">
        <v>81</v>
      </c>
      <c r="F17" s="34">
        <v>2.2999999999999998</v>
      </c>
      <c r="G17" s="34">
        <v>2.9</v>
      </c>
      <c r="H17" s="35">
        <v>0</v>
      </c>
      <c r="I17" s="36">
        <v>35</v>
      </c>
      <c r="J17" s="29"/>
      <c r="K17" s="37" t="s">
        <v>83</v>
      </c>
      <c r="L17" s="38">
        <f>L16</f>
        <v>80</v>
      </c>
      <c r="M17" s="32" t="s">
        <v>84</v>
      </c>
      <c r="N17" s="33" t="s">
        <v>81</v>
      </c>
      <c r="O17" s="34">
        <v>2.2999999999999998</v>
      </c>
      <c r="P17" s="34">
        <v>2.9</v>
      </c>
      <c r="Q17" s="35">
        <v>0</v>
      </c>
      <c r="R17" s="36">
        <v>35</v>
      </c>
    </row>
    <row r="18" spans="1:18" s="28" customFormat="1" ht="33.75" customHeight="1" x14ac:dyDescent="0.4">
      <c r="A18" s="29"/>
      <c r="B18" s="30" t="s">
        <v>129</v>
      </c>
      <c r="C18" s="31">
        <f>C17</f>
        <v>31</v>
      </c>
      <c r="D18" s="32" t="s">
        <v>129</v>
      </c>
      <c r="E18" s="33" t="s">
        <v>130</v>
      </c>
      <c r="F18" s="35">
        <v>0</v>
      </c>
      <c r="G18" s="35">
        <v>0</v>
      </c>
      <c r="H18" s="35">
        <f>15.9/2</f>
        <v>7.95</v>
      </c>
      <c r="I18" s="40">
        <f>64.2/2</f>
        <v>32.1</v>
      </c>
      <c r="J18" s="29"/>
      <c r="K18" s="30" t="s">
        <v>129</v>
      </c>
      <c r="L18" s="31">
        <f>L17</f>
        <v>80</v>
      </c>
      <c r="M18" s="32" t="s">
        <v>129</v>
      </c>
      <c r="N18" s="33" t="s">
        <v>12</v>
      </c>
      <c r="O18" s="35">
        <v>0</v>
      </c>
      <c r="P18" s="35">
        <v>0</v>
      </c>
      <c r="Q18" s="35">
        <f>15.9/2*3</f>
        <v>23.85</v>
      </c>
      <c r="R18" s="40">
        <f>64.2/2*3</f>
        <v>96.300000000000011</v>
      </c>
    </row>
    <row r="19" spans="1:18" s="28" customFormat="1" ht="36" customHeight="1" thickBot="1" x14ac:dyDescent="0.3">
      <c r="A19" s="41"/>
      <c r="B19" s="42"/>
      <c r="C19" s="43"/>
      <c r="D19" s="44"/>
      <c r="E19" s="45"/>
      <c r="F19" s="46"/>
      <c r="G19" s="46"/>
      <c r="H19" s="46"/>
      <c r="I19" s="47"/>
      <c r="J19" s="41"/>
      <c r="K19" s="42"/>
      <c r="L19" s="43"/>
      <c r="M19" s="44"/>
      <c r="N19" s="45"/>
      <c r="O19" s="46"/>
      <c r="P19" s="46"/>
      <c r="Q19" s="46"/>
      <c r="R19" s="47"/>
    </row>
    <row r="20" spans="1:18" s="28" customFormat="1" ht="36" customHeight="1" thickBot="1" x14ac:dyDescent="0.3">
      <c r="A20" s="316" t="s">
        <v>0</v>
      </c>
      <c r="B20" s="317"/>
      <c r="C20" s="318"/>
      <c r="D20" s="49"/>
      <c r="E20" s="50"/>
      <c r="F20" s="51">
        <f>SUM(F13:F19)</f>
        <v>13.805</v>
      </c>
      <c r="G20" s="51">
        <f t="shared" ref="G20:I20" si="2">SUM(G13:G19)</f>
        <v>19.699999999999996</v>
      </c>
      <c r="H20" s="51">
        <f t="shared" si="2"/>
        <v>62.35</v>
      </c>
      <c r="I20" s="52">
        <f t="shared" si="2"/>
        <v>483.1</v>
      </c>
      <c r="J20" s="316" t="s">
        <v>0</v>
      </c>
      <c r="K20" s="317"/>
      <c r="L20" s="318"/>
      <c r="M20" s="49"/>
      <c r="N20" s="50"/>
      <c r="O20" s="51">
        <f>SUM(O13:O19)</f>
        <v>14.605</v>
      </c>
      <c r="P20" s="51">
        <f t="shared" ref="P20:R20" si="3">SUM(P13:P19)</f>
        <v>28.499999999999996</v>
      </c>
      <c r="Q20" s="51">
        <f t="shared" si="3"/>
        <v>87.75</v>
      </c>
      <c r="R20" s="52">
        <f t="shared" si="3"/>
        <v>667.3</v>
      </c>
    </row>
    <row r="21" spans="1:18" s="28" customFormat="1" ht="66" customHeight="1" x14ac:dyDescent="0.25">
      <c r="A21" s="20" t="s">
        <v>11</v>
      </c>
      <c r="B21" s="21" t="s">
        <v>30</v>
      </c>
      <c r="C21" s="22">
        <v>31</v>
      </c>
      <c r="D21" s="23" t="s">
        <v>131</v>
      </c>
      <c r="E21" s="24" t="s">
        <v>37</v>
      </c>
      <c r="F21" s="25">
        <v>1.2</v>
      </c>
      <c r="G21" s="25">
        <v>8.1999999999999993</v>
      </c>
      <c r="H21" s="26">
        <v>6.4</v>
      </c>
      <c r="I21" s="27">
        <v>104</v>
      </c>
      <c r="J21" s="20" t="s">
        <v>11</v>
      </c>
      <c r="K21" s="21" t="s">
        <v>30</v>
      </c>
      <c r="L21" s="22">
        <v>88</v>
      </c>
      <c r="M21" s="23" t="s">
        <v>131</v>
      </c>
      <c r="N21" s="24" t="s">
        <v>37</v>
      </c>
      <c r="O21" s="25">
        <v>1.2</v>
      </c>
      <c r="P21" s="25">
        <v>8.1999999999999993</v>
      </c>
      <c r="Q21" s="26">
        <v>6.4</v>
      </c>
      <c r="R21" s="27">
        <v>104</v>
      </c>
    </row>
    <row r="22" spans="1:18" s="55" customFormat="1" ht="67.5" customHeight="1" x14ac:dyDescent="0.25">
      <c r="A22" s="29"/>
      <c r="B22" s="37" t="s">
        <v>10</v>
      </c>
      <c r="C22" s="38">
        <f t="shared" ref="C22:C27" si="4">C21</f>
        <v>31</v>
      </c>
      <c r="D22" s="32" t="s">
        <v>132</v>
      </c>
      <c r="E22" s="33" t="s">
        <v>36</v>
      </c>
      <c r="F22" s="34">
        <v>7.6</v>
      </c>
      <c r="G22" s="34">
        <v>1.9</v>
      </c>
      <c r="H22" s="35">
        <v>22.6</v>
      </c>
      <c r="I22" s="36">
        <v>138</v>
      </c>
      <c r="J22" s="39"/>
      <c r="K22" s="37" t="s">
        <v>10</v>
      </c>
      <c r="L22" s="38">
        <f t="shared" ref="L22:L27" si="5">L21</f>
        <v>88</v>
      </c>
      <c r="M22" s="32" t="s">
        <v>132</v>
      </c>
      <c r="N22" s="33" t="s">
        <v>36</v>
      </c>
      <c r="O22" s="34">
        <v>7.6</v>
      </c>
      <c r="P22" s="34">
        <v>1.9</v>
      </c>
      <c r="Q22" s="35">
        <v>22.6</v>
      </c>
      <c r="R22" s="36">
        <v>138</v>
      </c>
    </row>
    <row r="23" spans="1:18" s="58" customFormat="1" ht="30" customHeight="1" x14ac:dyDescent="0.4">
      <c r="A23" s="56"/>
      <c r="B23" s="30" t="s">
        <v>9</v>
      </c>
      <c r="C23" s="38">
        <f t="shared" si="4"/>
        <v>31</v>
      </c>
      <c r="D23" s="32" t="s">
        <v>133</v>
      </c>
      <c r="E23" s="33" t="s">
        <v>64</v>
      </c>
      <c r="F23" s="34">
        <v>17.8</v>
      </c>
      <c r="G23" s="34">
        <v>8.3000000000000007</v>
      </c>
      <c r="H23" s="35">
        <v>11.8</v>
      </c>
      <c r="I23" s="36">
        <v>193</v>
      </c>
      <c r="J23" s="57"/>
      <c r="K23" s="30" t="s">
        <v>9</v>
      </c>
      <c r="L23" s="38">
        <f t="shared" si="5"/>
        <v>88</v>
      </c>
      <c r="M23" s="32" t="s">
        <v>133</v>
      </c>
      <c r="N23" s="33" t="s">
        <v>64</v>
      </c>
      <c r="O23" s="34">
        <v>17.8</v>
      </c>
      <c r="P23" s="34">
        <v>8.3000000000000007</v>
      </c>
      <c r="Q23" s="35">
        <v>11.8</v>
      </c>
      <c r="R23" s="36">
        <v>193</v>
      </c>
    </row>
    <row r="24" spans="1:18" s="58" customFormat="1" ht="30" customHeight="1" x14ac:dyDescent="0.4">
      <c r="A24" s="56"/>
      <c r="B24" s="30" t="s">
        <v>91</v>
      </c>
      <c r="C24" s="31">
        <f t="shared" si="4"/>
        <v>31</v>
      </c>
      <c r="D24" s="32" t="s">
        <v>93</v>
      </c>
      <c r="E24" s="33" t="s">
        <v>31</v>
      </c>
      <c r="F24" s="34">
        <f>7.2/2*1.5</f>
        <v>5.4</v>
      </c>
      <c r="G24" s="34">
        <f>4.4/2*1.5</f>
        <v>3.3000000000000003</v>
      </c>
      <c r="H24" s="34">
        <f>34.2/2*1.5</f>
        <v>25.650000000000002</v>
      </c>
      <c r="I24" s="36">
        <f>197.4/2*1.5</f>
        <v>148.05000000000001</v>
      </c>
      <c r="J24" s="56"/>
      <c r="K24" s="30" t="s">
        <v>91</v>
      </c>
      <c r="L24" s="31">
        <f t="shared" si="5"/>
        <v>88</v>
      </c>
      <c r="M24" s="32" t="s">
        <v>93</v>
      </c>
      <c r="N24" s="33" t="s">
        <v>32</v>
      </c>
      <c r="O24" s="34">
        <f>7.2/2*1.8</f>
        <v>6.48</v>
      </c>
      <c r="P24" s="34">
        <f>4.4/2*1.8</f>
        <v>3.9600000000000004</v>
      </c>
      <c r="Q24" s="34">
        <f>34.2/2*1.8</f>
        <v>30.780000000000005</v>
      </c>
      <c r="R24" s="36">
        <f>197.4/2*1.8</f>
        <v>177.66</v>
      </c>
    </row>
    <row r="25" spans="1:18" s="28" customFormat="1" ht="33.75" customHeight="1" x14ac:dyDescent="0.25">
      <c r="A25" s="29"/>
      <c r="B25" s="37" t="s">
        <v>1</v>
      </c>
      <c r="C25" s="38">
        <f t="shared" si="4"/>
        <v>31</v>
      </c>
      <c r="D25" s="32" t="s">
        <v>94</v>
      </c>
      <c r="E25" s="33" t="s">
        <v>8</v>
      </c>
      <c r="F25" s="34">
        <v>0</v>
      </c>
      <c r="G25" s="34">
        <v>0</v>
      </c>
      <c r="H25" s="35">
        <v>10</v>
      </c>
      <c r="I25" s="36">
        <v>40</v>
      </c>
      <c r="J25" s="39"/>
      <c r="K25" s="37" t="s">
        <v>1</v>
      </c>
      <c r="L25" s="38">
        <f t="shared" si="5"/>
        <v>88</v>
      </c>
      <c r="M25" s="32" t="s">
        <v>94</v>
      </c>
      <c r="N25" s="33" t="s">
        <v>8</v>
      </c>
      <c r="O25" s="34">
        <v>0</v>
      </c>
      <c r="P25" s="34">
        <v>0</v>
      </c>
      <c r="Q25" s="35">
        <v>10</v>
      </c>
      <c r="R25" s="36">
        <v>40</v>
      </c>
    </row>
    <row r="26" spans="1:18" s="59" customFormat="1" ht="33.75" customHeight="1" x14ac:dyDescent="0.25">
      <c r="A26" s="29"/>
      <c r="B26" s="37" t="s">
        <v>7</v>
      </c>
      <c r="C26" s="38">
        <f t="shared" si="4"/>
        <v>31</v>
      </c>
      <c r="D26" s="32" t="s">
        <v>6</v>
      </c>
      <c r="E26" s="33" t="s">
        <v>3</v>
      </c>
      <c r="F26" s="34">
        <v>2.5</v>
      </c>
      <c r="G26" s="34">
        <v>0.4</v>
      </c>
      <c r="H26" s="35">
        <v>10.8</v>
      </c>
      <c r="I26" s="36">
        <v>57</v>
      </c>
      <c r="J26" s="39"/>
      <c r="K26" s="37" t="s">
        <v>7</v>
      </c>
      <c r="L26" s="38">
        <f t="shared" si="5"/>
        <v>88</v>
      </c>
      <c r="M26" s="32" t="s">
        <v>6</v>
      </c>
      <c r="N26" s="33" t="s">
        <v>3</v>
      </c>
      <c r="O26" s="34">
        <v>2.5</v>
      </c>
      <c r="P26" s="34">
        <v>0.4</v>
      </c>
      <c r="Q26" s="35">
        <v>10.8</v>
      </c>
      <c r="R26" s="36">
        <v>57</v>
      </c>
    </row>
    <row r="27" spans="1:18" s="28" customFormat="1" ht="30" customHeight="1" x14ac:dyDescent="0.25">
      <c r="A27" s="29"/>
      <c r="B27" s="37" t="s">
        <v>5</v>
      </c>
      <c r="C27" s="38">
        <f t="shared" si="4"/>
        <v>31</v>
      </c>
      <c r="D27" s="32" t="s">
        <v>4</v>
      </c>
      <c r="E27" s="33" t="s">
        <v>3</v>
      </c>
      <c r="F27" s="34">
        <v>2.5</v>
      </c>
      <c r="G27" s="34">
        <v>0.8</v>
      </c>
      <c r="H27" s="35">
        <v>14.1</v>
      </c>
      <c r="I27" s="36">
        <v>74</v>
      </c>
      <c r="J27" s="39"/>
      <c r="K27" s="37" t="s">
        <v>5</v>
      </c>
      <c r="L27" s="38">
        <f t="shared" si="5"/>
        <v>88</v>
      </c>
      <c r="M27" s="32" t="s">
        <v>4</v>
      </c>
      <c r="N27" s="33" t="s">
        <v>3</v>
      </c>
      <c r="O27" s="34">
        <v>2.5</v>
      </c>
      <c r="P27" s="34">
        <v>0.8</v>
      </c>
      <c r="Q27" s="35">
        <v>14.1</v>
      </c>
      <c r="R27" s="36">
        <v>74</v>
      </c>
    </row>
    <row r="28" spans="1:18" s="28" customFormat="1" ht="30" customHeight="1" thickBot="1" x14ac:dyDescent="0.3">
      <c r="A28" s="41"/>
      <c r="B28" s="42"/>
      <c r="C28" s="43"/>
      <c r="D28" s="44"/>
      <c r="E28" s="45"/>
      <c r="F28" s="60"/>
      <c r="G28" s="60"/>
      <c r="H28" s="60"/>
      <c r="I28" s="67"/>
      <c r="J28" s="41"/>
      <c r="K28" s="42"/>
      <c r="L28" s="43"/>
      <c r="M28" s="44"/>
      <c r="N28" s="45"/>
      <c r="O28" s="46"/>
      <c r="P28" s="46"/>
      <c r="Q28" s="46"/>
      <c r="R28" s="47"/>
    </row>
    <row r="29" spans="1:18" s="28" customFormat="1" ht="30" customHeight="1" thickBot="1" x14ac:dyDescent="0.3">
      <c r="A29" s="310" t="s">
        <v>0</v>
      </c>
      <c r="B29" s="311"/>
      <c r="C29" s="312"/>
      <c r="D29" s="61"/>
      <c r="E29" s="62"/>
      <c r="F29" s="63">
        <f>SUM(F21:F28)</f>
        <v>37</v>
      </c>
      <c r="G29" s="63">
        <f>SUM(G21:G28)</f>
        <v>22.9</v>
      </c>
      <c r="H29" s="63">
        <f>SUM(H21:H28)</f>
        <v>101.35</v>
      </c>
      <c r="I29" s="64">
        <f>SUM(I21:I28)</f>
        <v>754.05</v>
      </c>
      <c r="J29" s="310" t="s">
        <v>0</v>
      </c>
      <c r="K29" s="311"/>
      <c r="L29" s="312"/>
      <c r="M29" s="61"/>
      <c r="N29" s="62"/>
      <c r="O29" s="63">
        <f>SUM(O21:O28)</f>
        <v>38.08</v>
      </c>
      <c r="P29" s="63">
        <f>SUM(P21:P28)</f>
        <v>23.56</v>
      </c>
      <c r="Q29" s="63">
        <f>SUM(Q21:Q28)</f>
        <v>106.47999999999999</v>
      </c>
      <c r="R29" s="64">
        <f>SUM(R21:R28)</f>
        <v>783.66</v>
      </c>
    </row>
    <row r="30" spans="1:18" s="28" customFormat="1" ht="30" customHeight="1" x14ac:dyDescent="0.4">
      <c r="A30" s="20" t="s">
        <v>2</v>
      </c>
      <c r="B30" s="31" t="s">
        <v>1</v>
      </c>
      <c r="C30" s="65">
        <v>30</v>
      </c>
      <c r="D30" s="32" t="s">
        <v>162</v>
      </c>
      <c r="E30" s="33" t="s">
        <v>8</v>
      </c>
      <c r="F30" s="25">
        <v>0.6</v>
      </c>
      <c r="G30" s="25"/>
      <c r="H30" s="26">
        <v>33</v>
      </c>
      <c r="I30" s="27">
        <v>136</v>
      </c>
      <c r="J30" s="20" t="s">
        <v>2</v>
      </c>
      <c r="K30" s="31" t="s">
        <v>1</v>
      </c>
      <c r="L30" s="65">
        <v>9</v>
      </c>
      <c r="M30" s="32" t="s">
        <v>162</v>
      </c>
      <c r="N30" s="33" t="s">
        <v>8</v>
      </c>
      <c r="O30" s="25">
        <v>0.6</v>
      </c>
      <c r="P30" s="25"/>
      <c r="Q30" s="26">
        <v>33</v>
      </c>
      <c r="R30" s="27">
        <v>136</v>
      </c>
    </row>
    <row r="31" spans="1:18" s="58" customFormat="1" ht="30" customHeight="1" x14ac:dyDescent="0.4">
      <c r="A31" s="56"/>
      <c r="B31" s="30" t="s">
        <v>97</v>
      </c>
      <c r="C31" s="31">
        <f>C30</f>
        <v>30</v>
      </c>
      <c r="D31" s="32" t="s">
        <v>134</v>
      </c>
      <c r="E31" s="33" t="s">
        <v>33</v>
      </c>
      <c r="F31" s="35">
        <v>4.5999999999999996</v>
      </c>
      <c r="G31" s="35">
        <v>7.7</v>
      </c>
      <c r="H31" s="35">
        <v>45.2</v>
      </c>
      <c r="I31" s="40">
        <v>273</v>
      </c>
      <c r="J31" s="56"/>
      <c r="K31" s="30" t="s">
        <v>97</v>
      </c>
      <c r="L31" s="31">
        <f>L30</f>
        <v>9</v>
      </c>
      <c r="M31" s="32" t="s">
        <v>134</v>
      </c>
      <c r="N31" s="33" t="s">
        <v>34</v>
      </c>
      <c r="O31" s="35">
        <f>4.6/7*9</f>
        <v>5.9142857142857146</v>
      </c>
      <c r="P31" s="35">
        <f>7.7/7*9</f>
        <v>9.9</v>
      </c>
      <c r="Q31" s="35">
        <f>45.2/7*9</f>
        <v>58.114285714285714</v>
      </c>
      <c r="R31" s="40">
        <f>273/7*9</f>
        <v>351</v>
      </c>
    </row>
    <row r="32" spans="1:18" s="28" customFormat="1" ht="30" customHeight="1" thickBot="1" x14ac:dyDescent="0.45">
      <c r="A32" s="41"/>
      <c r="B32" s="43"/>
      <c r="C32" s="66"/>
      <c r="D32" s="44"/>
      <c r="E32" s="45"/>
      <c r="F32" s="46"/>
      <c r="G32" s="60"/>
      <c r="H32" s="60"/>
      <c r="I32" s="67"/>
      <c r="J32" s="41"/>
      <c r="K32" s="68"/>
      <c r="L32" s="31"/>
      <c r="M32" s="44"/>
      <c r="N32" s="45"/>
      <c r="O32" s="60"/>
      <c r="P32" s="60"/>
      <c r="Q32" s="60"/>
      <c r="R32" s="67"/>
    </row>
    <row r="33" spans="1:18" s="28" customFormat="1" ht="30" customHeight="1" thickBot="1" x14ac:dyDescent="0.3">
      <c r="A33" s="310" t="s">
        <v>0</v>
      </c>
      <c r="B33" s="311"/>
      <c r="C33" s="312"/>
      <c r="D33" s="61"/>
      <c r="E33" s="62"/>
      <c r="F33" s="63">
        <f>SUM(F30:F32)</f>
        <v>5.1999999999999993</v>
      </c>
      <c r="G33" s="63">
        <f>SUM(G30:G32)</f>
        <v>7.7</v>
      </c>
      <c r="H33" s="63">
        <f>SUM(H30:H32)</f>
        <v>78.2</v>
      </c>
      <c r="I33" s="64">
        <f>SUM(I30:I32)</f>
        <v>409</v>
      </c>
      <c r="J33" s="313" t="s">
        <v>0</v>
      </c>
      <c r="K33" s="314"/>
      <c r="L33" s="315"/>
      <c r="M33" s="61"/>
      <c r="N33" s="62"/>
      <c r="O33" s="63">
        <f>SUM(O30:O32)</f>
        <v>6.5142857142857142</v>
      </c>
      <c r="P33" s="63">
        <f>SUM(P30:P32)</f>
        <v>9.9</v>
      </c>
      <c r="Q33" s="63">
        <f>SUM(Q30:Q32)</f>
        <v>91.114285714285714</v>
      </c>
      <c r="R33" s="64">
        <f>SUM(R30:R32)</f>
        <v>487</v>
      </c>
    </row>
    <row r="34" spans="1:18" s="149" customFormat="1" ht="24.95" customHeight="1" x14ac:dyDescent="0.25">
      <c r="A34" s="148"/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</row>
    <row r="35" spans="1:18" s="155" customFormat="1" ht="24.95" customHeight="1" x14ac:dyDescent="0.5">
      <c r="A35" s="150"/>
      <c r="B35" s="88"/>
      <c r="C35" s="88"/>
      <c r="D35" s="151" t="s">
        <v>71</v>
      </c>
      <c r="E35" s="152"/>
      <c r="F35" s="153" t="s">
        <v>72</v>
      </c>
      <c r="G35" s="153"/>
      <c r="H35" s="154"/>
      <c r="I35" s="150"/>
      <c r="J35" s="150"/>
      <c r="K35" s="88"/>
      <c r="L35" s="88"/>
      <c r="M35" s="151" t="s">
        <v>71</v>
      </c>
      <c r="N35" s="152"/>
      <c r="O35" s="153" t="s">
        <v>72</v>
      </c>
      <c r="P35" s="153"/>
      <c r="Q35" s="84"/>
      <c r="R35" s="150"/>
    </row>
    <row r="36" spans="1:18" s="157" customFormat="1" ht="24.95" customHeight="1" x14ac:dyDescent="0.5">
      <c r="A36" s="150"/>
      <c r="B36" s="88"/>
      <c r="C36" s="88"/>
      <c r="D36" s="151"/>
      <c r="E36" s="152"/>
      <c r="F36" s="153"/>
      <c r="G36" s="153"/>
      <c r="H36" s="156"/>
      <c r="I36" s="88"/>
      <c r="J36" s="150"/>
      <c r="K36" s="88"/>
      <c r="L36" s="88"/>
      <c r="M36" s="151"/>
      <c r="N36" s="152"/>
      <c r="O36" s="153"/>
      <c r="P36" s="153"/>
      <c r="Q36" s="156"/>
      <c r="R36" s="88"/>
    </row>
    <row r="37" spans="1:18" s="88" customFormat="1" ht="24.95" customHeight="1" x14ac:dyDescent="0.5">
      <c r="A37" s="150"/>
      <c r="D37" s="151" t="s">
        <v>73</v>
      </c>
      <c r="E37" s="152"/>
      <c r="F37" s="158" t="s">
        <v>74</v>
      </c>
      <c r="G37" s="158"/>
      <c r="J37" s="150"/>
      <c r="M37" s="151" t="s">
        <v>73</v>
      </c>
      <c r="N37" s="152"/>
      <c r="O37" s="158" t="s">
        <v>74</v>
      </c>
      <c r="P37" s="158"/>
    </row>
  </sheetData>
  <mergeCells count="18">
    <mergeCell ref="F3:I3"/>
    <mergeCell ref="O3:R3"/>
    <mergeCell ref="F1:I2"/>
    <mergeCell ref="O1:R2"/>
    <mergeCell ref="B11:E11"/>
    <mergeCell ref="K11:N11"/>
    <mergeCell ref="C7:I7"/>
    <mergeCell ref="L7:R7"/>
    <mergeCell ref="J6:K6"/>
    <mergeCell ref="L6:R6"/>
    <mergeCell ref="A6:B6"/>
    <mergeCell ref="C6:I6"/>
    <mergeCell ref="A33:C33"/>
    <mergeCell ref="J33:L33"/>
    <mergeCell ref="A29:C29"/>
    <mergeCell ref="J29:L29"/>
    <mergeCell ref="A20:C20"/>
    <mergeCell ref="J20:L20"/>
  </mergeCells>
  <pageMargins left="0.7" right="0.7" top="0.75" bottom="0.75" header="0.3" footer="0.3"/>
  <pageSetup paperSize="9" scale="39" orientation="landscape" r:id="rId1"/>
  <colBreaks count="1" manualBreakCount="1">
    <brk id="9" max="37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view="pageBreakPreview" topLeftCell="A7" zoomScale="40" zoomScaleNormal="40" zoomScaleSheetLayoutView="40" workbookViewId="0">
      <selection activeCell="B14" sqref="B14:C17"/>
    </sheetView>
  </sheetViews>
  <sheetFormatPr defaultRowHeight="23.25" x14ac:dyDescent="0.25"/>
  <cols>
    <col min="1" max="1" width="5.28515625" style="264" customWidth="1"/>
    <col min="2" max="2" width="90.28515625" style="265" customWidth="1"/>
    <col min="3" max="3" width="20" style="265" customWidth="1"/>
    <col min="4" max="4" width="11.7109375" style="265" customWidth="1"/>
    <col min="5" max="6" width="60.7109375" style="264" customWidth="1"/>
    <col min="7" max="7" width="5.7109375" style="265" customWidth="1"/>
    <col min="8" max="8" width="95.7109375" style="265" customWidth="1"/>
    <col min="9" max="9" width="18.5703125" style="265" customWidth="1"/>
    <col min="10" max="10" width="12" style="265" customWidth="1"/>
    <col min="11" max="11" width="60.7109375" style="264" customWidth="1"/>
    <col min="12" max="12" width="55" style="264" customWidth="1"/>
  </cols>
  <sheetData>
    <row r="1" spans="1:12" ht="33.75" customHeight="1" x14ac:dyDescent="0.25">
      <c r="A1" s="303" t="s">
        <v>40</v>
      </c>
      <c r="B1" s="303"/>
      <c r="C1" s="86"/>
      <c r="D1" s="86"/>
      <c r="E1" s="304" t="s">
        <v>41</v>
      </c>
      <c r="F1" s="304"/>
      <c r="G1" s="303" t="s">
        <v>40</v>
      </c>
      <c r="H1" s="303"/>
      <c r="I1" s="86"/>
      <c r="J1" s="86"/>
      <c r="K1" s="304" t="s">
        <v>41</v>
      </c>
      <c r="L1" s="304"/>
    </row>
    <row r="2" spans="1:12" ht="92.25" customHeight="1" x14ac:dyDescent="0.25">
      <c r="A2" s="305" t="s">
        <v>42</v>
      </c>
      <c r="B2" s="305"/>
      <c r="C2" s="86"/>
      <c r="D2" s="86"/>
      <c r="E2" s="304"/>
      <c r="F2" s="304"/>
      <c r="G2" s="305" t="s">
        <v>42</v>
      </c>
      <c r="H2" s="305"/>
      <c r="I2" s="86"/>
      <c r="J2" s="86"/>
      <c r="K2" s="304"/>
      <c r="L2" s="304"/>
    </row>
    <row r="3" spans="1:12" ht="33.75" customHeight="1" x14ac:dyDescent="0.25">
      <c r="A3" s="303" t="s">
        <v>139</v>
      </c>
      <c r="B3" s="303"/>
      <c r="C3" s="86"/>
      <c r="D3" s="86"/>
      <c r="E3" s="304" t="s">
        <v>75</v>
      </c>
      <c r="F3" s="304"/>
      <c r="G3" s="303" t="s">
        <v>139</v>
      </c>
      <c r="H3" s="303"/>
      <c r="I3" s="86"/>
      <c r="J3" s="86"/>
      <c r="K3" s="304" t="s">
        <v>75</v>
      </c>
      <c r="L3" s="304"/>
    </row>
    <row r="4" spans="1:12" ht="33" x14ac:dyDescent="0.25">
      <c r="A4" s="306" t="s">
        <v>45</v>
      </c>
      <c r="B4" s="306"/>
      <c r="C4" s="86"/>
      <c r="D4" s="86"/>
      <c r="E4" s="306" t="s">
        <v>45</v>
      </c>
      <c r="F4" s="306"/>
      <c r="G4" s="306" t="s">
        <v>45</v>
      </c>
      <c r="H4" s="306"/>
      <c r="I4" s="86"/>
      <c r="J4" s="86"/>
      <c r="K4" s="306" t="s">
        <v>45</v>
      </c>
      <c r="L4" s="306"/>
    </row>
    <row r="5" spans="1:12" ht="33.75" x14ac:dyDescent="0.25">
      <c r="A5" s="182"/>
      <c r="B5" s="182"/>
      <c r="C5" s="182"/>
      <c r="D5" s="182"/>
      <c r="E5" s="86"/>
      <c r="F5" s="86"/>
      <c r="G5" s="182"/>
      <c r="H5" s="182"/>
      <c r="I5" s="182"/>
      <c r="J5" s="182"/>
      <c r="K5" s="86"/>
      <c r="L5" s="86"/>
    </row>
    <row r="6" spans="1:12" ht="87.75" customHeight="1" x14ac:dyDescent="0.25">
      <c r="A6" s="308" t="s">
        <v>46</v>
      </c>
      <c r="B6" s="308"/>
      <c r="C6" s="309" t="s">
        <v>47</v>
      </c>
      <c r="D6" s="309"/>
      <c r="E6" s="309"/>
      <c r="F6" s="309"/>
      <c r="G6" s="308" t="s">
        <v>46</v>
      </c>
      <c r="H6" s="308"/>
      <c r="I6" s="309" t="s">
        <v>47</v>
      </c>
      <c r="J6" s="309"/>
      <c r="K6" s="309"/>
      <c r="L6" s="309"/>
    </row>
    <row r="7" spans="1:12" ht="33" customHeight="1" x14ac:dyDescent="0.25">
      <c r="A7" s="183"/>
      <c r="B7" s="183"/>
      <c r="C7" s="309" t="s">
        <v>48</v>
      </c>
      <c r="D7" s="309"/>
      <c r="E7" s="309"/>
      <c r="F7" s="309"/>
      <c r="G7" s="183"/>
      <c r="H7" s="183"/>
      <c r="I7" s="309" t="s">
        <v>48</v>
      </c>
      <c r="J7" s="309"/>
      <c r="K7" s="309"/>
      <c r="L7" s="309"/>
    </row>
    <row r="8" spans="1:12" ht="33" x14ac:dyDescent="0.25">
      <c r="A8" s="183"/>
      <c r="B8" s="183"/>
      <c r="C8" s="184"/>
      <c r="D8" s="184"/>
      <c r="E8" s="184"/>
      <c r="F8" s="184"/>
      <c r="G8" s="183"/>
      <c r="H8" s="183"/>
      <c r="I8" s="184"/>
      <c r="J8" s="184"/>
      <c r="K8" s="184"/>
      <c r="L8" s="184"/>
    </row>
    <row r="9" spans="1:12" ht="44.25" customHeight="1" x14ac:dyDescent="0.25">
      <c r="A9" s="185" t="s">
        <v>49</v>
      </c>
      <c r="B9" s="185"/>
      <c r="C9" s="307" t="s">
        <v>140</v>
      </c>
      <c r="D9" s="307"/>
      <c r="E9" s="307"/>
      <c r="F9" s="185"/>
      <c r="G9" s="185" t="s">
        <v>49</v>
      </c>
      <c r="H9" s="185"/>
      <c r="I9" s="307" t="s">
        <v>141</v>
      </c>
      <c r="J9" s="307"/>
      <c r="K9" s="307"/>
      <c r="L9" s="185"/>
    </row>
    <row r="10" spans="1:12" ht="28.5" thickBot="1" x14ac:dyDescent="0.3">
      <c r="A10" s="75"/>
      <c r="B10" s="186"/>
      <c r="C10" s="187"/>
      <c r="D10" s="187"/>
      <c r="E10" s="188"/>
      <c r="F10" s="75"/>
      <c r="G10" s="75"/>
      <c r="H10" s="186"/>
      <c r="I10" s="189"/>
      <c r="J10" s="189"/>
      <c r="K10" s="188"/>
      <c r="L10" s="75"/>
    </row>
    <row r="11" spans="1:12" ht="81.75" customHeight="1" thickBot="1" x14ac:dyDescent="0.3">
      <c r="A11" s="190"/>
      <c r="B11" s="191"/>
      <c r="C11" s="192" t="s">
        <v>142</v>
      </c>
      <c r="D11" s="192"/>
      <c r="E11" s="193" t="s">
        <v>143</v>
      </c>
      <c r="F11" s="194">
        <v>44659</v>
      </c>
      <c r="G11" s="195"/>
      <c r="H11" s="191"/>
      <c r="I11" s="192" t="str">
        <f>C11</f>
        <v>Выход, гр</v>
      </c>
      <c r="J11" s="192"/>
      <c r="K11" s="193" t="str">
        <f>E11</f>
        <v>Цена Продажная</v>
      </c>
      <c r="L11" s="196">
        <f>F11</f>
        <v>44659</v>
      </c>
    </row>
    <row r="12" spans="1:12" ht="33" customHeight="1" x14ac:dyDescent="0.25">
      <c r="A12" s="197"/>
      <c r="B12" s="198"/>
      <c r="C12" s="199"/>
      <c r="D12" s="198"/>
      <c r="E12" s="200"/>
      <c r="F12" s="201"/>
      <c r="G12" s="202"/>
      <c r="H12" s="203"/>
      <c r="I12" s="204"/>
      <c r="J12" s="203"/>
      <c r="K12" s="205"/>
      <c r="L12" s="206"/>
    </row>
    <row r="13" spans="1:12" ht="30.75" x14ac:dyDescent="0.25">
      <c r="A13" s="207"/>
      <c r="B13" s="208" t="s">
        <v>144</v>
      </c>
      <c r="C13" s="208">
        <v>31</v>
      </c>
      <c r="D13" s="209" t="s">
        <v>145</v>
      </c>
      <c r="E13" s="210"/>
      <c r="F13" s="211"/>
      <c r="G13" s="212"/>
      <c r="H13" s="208" t="str">
        <f>B13</f>
        <v>ЗАВТРАК</v>
      </c>
      <c r="I13" s="208">
        <v>80</v>
      </c>
      <c r="J13" s="209" t="str">
        <f>D13</f>
        <v>чел</v>
      </c>
      <c r="K13" s="210"/>
      <c r="L13" s="211"/>
    </row>
    <row r="14" spans="1:12" ht="30" x14ac:dyDescent="0.25">
      <c r="A14" s="213">
        <v>1</v>
      </c>
      <c r="B14" s="214" t="s">
        <v>124</v>
      </c>
      <c r="C14" s="215" t="s">
        <v>8</v>
      </c>
      <c r="D14" s="215"/>
      <c r="E14" s="210">
        <f>100-19.88-23</f>
        <v>57.120000000000005</v>
      </c>
      <c r="F14" s="216"/>
      <c r="G14" s="213">
        <v>1</v>
      </c>
      <c r="H14" s="214" t="s">
        <v>125</v>
      </c>
      <c r="I14" s="215" t="s">
        <v>78</v>
      </c>
      <c r="J14" s="214"/>
      <c r="K14" s="210">
        <f>100-19.88-23+10.4</f>
        <v>67.52000000000001</v>
      </c>
      <c r="L14" s="217"/>
    </row>
    <row r="15" spans="1:12" ht="30" x14ac:dyDescent="0.25">
      <c r="A15" s="213">
        <f>A14+1</f>
        <v>2</v>
      </c>
      <c r="B15" s="214" t="s">
        <v>13</v>
      </c>
      <c r="C15" s="215" t="s">
        <v>12</v>
      </c>
      <c r="D15" s="215"/>
      <c r="E15" s="210">
        <v>15</v>
      </c>
      <c r="F15" s="216"/>
      <c r="G15" s="213">
        <f>G14+1</f>
        <v>2</v>
      </c>
      <c r="H15" s="214" t="s">
        <v>13</v>
      </c>
      <c r="I15" s="215" t="s">
        <v>12</v>
      </c>
      <c r="J15" s="214"/>
      <c r="K15" s="210">
        <v>15</v>
      </c>
      <c r="L15" s="217"/>
    </row>
    <row r="16" spans="1:12" ht="30" x14ac:dyDescent="0.25">
      <c r="A16" s="213">
        <f>A15+1</f>
        <v>3</v>
      </c>
      <c r="B16" s="214" t="s">
        <v>80</v>
      </c>
      <c r="C16" s="215" t="s">
        <v>81</v>
      </c>
      <c r="D16" s="215"/>
      <c r="E16" s="210">
        <v>10.08</v>
      </c>
      <c r="F16" s="216"/>
      <c r="G16" s="213">
        <f>G15+1</f>
        <v>3</v>
      </c>
      <c r="H16" s="214" t="s">
        <v>80</v>
      </c>
      <c r="I16" s="215" t="s">
        <v>81</v>
      </c>
      <c r="J16" s="214"/>
      <c r="K16" s="210">
        <v>10.08</v>
      </c>
      <c r="L16" s="217"/>
    </row>
    <row r="17" spans="1:12" ht="30" x14ac:dyDescent="0.25">
      <c r="A17" s="213">
        <v>4</v>
      </c>
      <c r="B17" s="214" t="s">
        <v>35</v>
      </c>
      <c r="C17" s="215" t="s">
        <v>8</v>
      </c>
      <c r="D17" s="215"/>
      <c r="E17" s="210"/>
      <c r="F17" s="218"/>
      <c r="G17" s="213">
        <v>4</v>
      </c>
      <c r="H17" s="214" t="s">
        <v>35</v>
      </c>
      <c r="I17" s="215" t="s">
        <v>8</v>
      </c>
      <c r="J17" s="214"/>
      <c r="K17" s="210"/>
      <c r="L17" s="217"/>
    </row>
    <row r="18" spans="1:12" ht="26.25" customHeight="1" x14ac:dyDescent="0.25">
      <c r="A18" s="213">
        <v>5</v>
      </c>
      <c r="B18" s="214" t="s">
        <v>84</v>
      </c>
      <c r="C18" s="215" t="s">
        <v>81</v>
      </c>
      <c r="D18" s="215"/>
      <c r="E18" s="210"/>
      <c r="F18" s="218"/>
      <c r="G18" s="213">
        <v>5</v>
      </c>
      <c r="H18" s="214" t="s">
        <v>84</v>
      </c>
      <c r="I18" s="215" t="s">
        <v>81</v>
      </c>
      <c r="J18" s="214"/>
      <c r="K18" s="210"/>
      <c r="L18" s="217"/>
    </row>
    <row r="19" spans="1:12" ht="30" x14ac:dyDescent="0.25">
      <c r="A19" s="213">
        <v>6</v>
      </c>
      <c r="B19" s="214" t="s">
        <v>129</v>
      </c>
      <c r="C19" s="215" t="s">
        <v>130</v>
      </c>
      <c r="D19" s="215"/>
      <c r="E19" s="210"/>
      <c r="F19" s="219"/>
      <c r="G19" s="213">
        <v>6</v>
      </c>
      <c r="H19" s="214" t="s">
        <v>129</v>
      </c>
      <c r="I19" s="215" t="s">
        <v>12</v>
      </c>
      <c r="J19" s="214"/>
      <c r="K19" s="210"/>
      <c r="L19" s="219"/>
    </row>
    <row r="20" spans="1:12" ht="30" x14ac:dyDescent="0.25">
      <c r="A20" s="213"/>
      <c r="B20" s="214"/>
      <c r="C20" s="215"/>
      <c r="D20" s="215"/>
      <c r="E20" s="210"/>
      <c r="F20" s="219"/>
      <c r="G20" s="213"/>
      <c r="H20" s="214"/>
      <c r="I20" s="215"/>
      <c r="J20" s="215"/>
      <c r="K20" s="210"/>
      <c r="L20" s="219"/>
    </row>
    <row r="21" spans="1:12" ht="30.75" x14ac:dyDescent="0.25">
      <c r="A21" s="207"/>
      <c r="B21" s="220" t="s">
        <v>0</v>
      </c>
      <c r="C21" s="221"/>
      <c r="D21" s="222"/>
      <c r="E21" s="210">
        <v>115.2</v>
      </c>
      <c r="F21" s="223">
        <f>107.27-E21</f>
        <v>-7.9300000000000068</v>
      </c>
      <c r="G21" s="212"/>
      <c r="H21" s="220" t="s">
        <v>0</v>
      </c>
      <c r="I21" s="221"/>
      <c r="J21" s="222"/>
      <c r="K21" s="210">
        <v>138.6</v>
      </c>
      <c r="L21" s="223">
        <f>129.4-K21</f>
        <v>-9.1999999999999886</v>
      </c>
    </row>
    <row r="22" spans="1:12" ht="30.75" x14ac:dyDescent="0.25">
      <c r="A22" s="207"/>
      <c r="B22" s="224"/>
      <c r="C22" s="225"/>
      <c r="D22" s="224"/>
      <c r="E22" s="210"/>
      <c r="F22" s="217"/>
      <c r="G22" s="226"/>
      <c r="H22" s="224"/>
      <c r="I22" s="225"/>
      <c r="J22" s="227"/>
      <c r="K22" s="210"/>
      <c r="L22" s="228"/>
    </row>
    <row r="23" spans="1:12" ht="30.75" x14ac:dyDescent="0.25">
      <c r="A23" s="207"/>
      <c r="B23" s="229" t="s">
        <v>147</v>
      </c>
      <c r="C23" s="230" t="s">
        <v>148</v>
      </c>
      <c r="D23" s="209" t="s">
        <v>145</v>
      </c>
      <c r="E23" s="210"/>
      <c r="F23" s="219"/>
      <c r="G23" s="207"/>
      <c r="H23" s="229" t="s">
        <v>147</v>
      </c>
      <c r="I23" s="230" t="s">
        <v>163</v>
      </c>
      <c r="J23" s="231" t="str">
        <f>D23</f>
        <v>чел</v>
      </c>
      <c r="K23" s="210"/>
      <c r="L23" s="219"/>
    </row>
    <row r="24" spans="1:12" ht="62.25" customHeight="1" x14ac:dyDescent="0.25">
      <c r="A24" s="213">
        <f>A23+1</f>
        <v>1</v>
      </c>
      <c r="B24" s="214" t="s">
        <v>131</v>
      </c>
      <c r="C24" s="215" t="s">
        <v>37</v>
      </c>
      <c r="D24" s="215"/>
      <c r="E24" s="210">
        <v>20</v>
      </c>
      <c r="F24" s="232"/>
      <c r="G24" s="213">
        <f>G23+1</f>
        <v>1</v>
      </c>
      <c r="H24" s="214" t="s">
        <v>131</v>
      </c>
      <c r="I24" s="215" t="s">
        <v>37</v>
      </c>
      <c r="J24" s="214"/>
      <c r="K24" s="210">
        <v>20</v>
      </c>
      <c r="L24" s="232"/>
    </row>
    <row r="25" spans="1:12" ht="30" x14ac:dyDescent="0.25">
      <c r="A25" s="213">
        <f>A24+1</f>
        <v>2</v>
      </c>
      <c r="B25" s="214" t="s">
        <v>132</v>
      </c>
      <c r="C25" s="215" t="s">
        <v>36</v>
      </c>
      <c r="D25" s="215"/>
      <c r="E25" s="210">
        <v>80</v>
      </c>
      <c r="F25" s="232"/>
      <c r="G25" s="213">
        <f>G24+1</f>
        <v>2</v>
      </c>
      <c r="H25" s="214" t="s">
        <v>132</v>
      </c>
      <c r="I25" s="215" t="s">
        <v>36</v>
      </c>
      <c r="J25" s="214"/>
      <c r="K25" s="210">
        <v>80</v>
      </c>
      <c r="L25" s="232"/>
    </row>
    <row r="26" spans="1:12" ht="30" x14ac:dyDescent="0.25">
      <c r="A26" s="213">
        <f>A25+1</f>
        <v>3</v>
      </c>
      <c r="B26" s="214" t="s">
        <v>133</v>
      </c>
      <c r="C26" s="215" t="s">
        <v>64</v>
      </c>
      <c r="D26" s="215"/>
      <c r="E26" s="210">
        <f>69.6-7.5</f>
        <v>62.099999999999994</v>
      </c>
      <c r="F26" s="218"/>
      <c r="G26" s="213">
        <f>G25+1</f>
        <v>3</v>
      </c>
      <c r="H26" s="214" t="s">
        <v>133</v>
      </c>
      <c r="I26" s="215" t="s">
        <v>64</v>
      </c>
      <c r="J26" s="214"/>
      <c r="K26" s="210">
        <f>62.1*1.2-2.82</f>
        <v>71.7</v>
      </c>
      <c r="L26" s="218"/>
    </row>
    <row r="27" spans="1:12" ht="30.75" x14ac:dyDescent="0.25">
      <c r="A27" s="213">
        <f>A26+1</f>
        <v>4</v>
      </c>
      <c r="B27" s="214" t="s">
        <v>93</v>
      </c>
      <c r="C27" s="215" t="s">
        <v>31</v>
      </c>
      <c r="D27" s="215"/>
      <c r="E27" s="210">
        <v>15</v>
      </c>
      <c r="F27" s="228"/>
      <c r="G27" s="213">
        <f>G26+1</f>
        <v>4</v>
      </c>
      <c r="H27" s="214" t="s">
        <v>93</v>
      </c>
      <c r="I27" s="215" t="s">
        <v>32</v>
      </c>
      <c r="J27" s="214"/>
      <c r="K27" s="210">
        <v>18</v>
      </c>
      <c r="L27" s="218"/>
    </row>
    <row r="28" spans="1:12" ht="30.75" x14ac:dyDescent="0.25">
      <c r="A28" s="213">
        <f>A27+1</f>
        <v>5</v>
      </c>
      <c r="B28" s="214" t="s">
        <v>94</v>
      </c>
      <c r="C28" s="215" t="s">
        <v>8</v>
      </c>
      <c r="D28" s="215"/>
      <c r="E28" s="210">
        <v>20</v>
      </c>
      <c r="F28" s="228"/>
      <c r="G28" s="213">
        <f>G27+1</f>
        <v>5</v>
      </c>
      <c r="H28" s="214" t="s">
        <v>94</v>
      </c>
      <c r="I28" s="215" t="s">
        <v>8</v>
      </c>
      <c r="J28" s="214"/>
      <c r="K28" s="210">
        <v>20</v>
      </c>
      <c r="L28" s="218"/>
    </row>
    <row r="29" spans="1:12" ht="33" customHeight="1" x14ac:dyDescent="0.25">
      <c r="A29" s="213">
        <v>6</v>
      </c>
      <c r="B29" s="214" t="s">
        <v>6</v>
      </c>
      <c r="C29" s="215" t="s">
        <v>3</v>
      </c>
      <c r="D29" s="215"/>
      <c r="E29" s="210">
        <v>7.5</v>
      </c>
      <c r="F29" s="228"/>
      <c r="G29" s="213">
        <v>6</v>
      </c>
      <c r="H29" s="214" t="s">
        <v>6</v>
      </c>
      <c r="I29" s="215" t="s">
        <v>3</v>
      </c>
      <c r="J29" s="214"/>
      <c r="K29" s="210">
        <v>7.5</v>
      </c>
      <c r="L29" s="218"/>
    </row>
    <row r="30" spans="1:12" ht="28.5" customHeight="1" x14ac:dyDescent="0.25">
      <c r="A30" s="213">
        <v>7</v>
      </c>
      <c r="B30" s="214" t="s">
        <v>4</v>
      </c>
      <c r="C30" s="215" t="s">
        <v>3</v>
      </c>
      <c r="D30" s="215"/>
      <c r="E30" s="210"/>
      <c r="F30" s="228"/>
      <c r="G30" s="213">
        <v>7</v>
      </c>
      <c r="H30" s="214" t="s">
        <v>4</v>
      </c>
      <c r="I30" s="215" t="s">
        <v>3</v>
      </c>
      <c r="J30" s="214"/>
      <c r="K30" s="210"/>
      <c r="L30" s="218"/>
    </row>
    <row r="31" spans="1:12" ht="30.75" x14ac:dyDescent="0.25">
      <c r="A31" s="207"/>
      <c r="B31" s="214"/>
      <c r="C31" s="215"/>
      <c r="D31" s="215"/>
      <c r="E31" s="210"/>
      <c r="F31" s="228"/>
      <c r="G31" s="212"/>
      <c r="H31" s="214"/>
      <c r="I31" s="215"/>
      <c r="J31" s="214"/>
      <c r="K31" s="210"/>
      <c r="L31" s="228"/>
    </row>
    <row r="32" spans="1:12" ht="30.75" x14ac:dyDescent="0.25">
      <c r="A32" s="207"/>
      <c r="B32" s="233"/>
      <c r="C32" s="234"/>
      <c r="D32" s="222"/>
      <c r="E32" s="210"/>
      <c r="F32" s="228"/>
      <c r="G32" s="207"/>
      <c r="H32" s="233"/>
      <c r="I32" s="234"/>
      <c r="J32" s="221"/>
      <c r="K32" s="210"/>
      <c r="L32" s="228"/>
    </row>
    <row r="33" spans="1:12" ht="30.75" x14ac:dyDescent="0.25">
      <c r="A33" s="207"/>
      <c r="B33" s="235" t="s">
        <v>0</v>
      </c>
      <c r="C33" s="221"/>
      <c r="D33" s="222"/>
      <c r="E33" s="210">
        <v>210.6</v>
      </c>
      <c r="F33" s="223">
        <f>197.87-E33</f>
        <v>-12.72999999999999</v>
      </c>
      <c r="G33" s="207"/>
      <c r="H33" s="235" t="s">
        <v>0</v>
      </c>
      <c r="I33" s="221"/>
      <c r="J33" s="221"/>
      <c r="K33" s="210">
        <v>223.2</v>
      </c>
      <c r="L33" s="223">
        <f>209.73-K33</f>
        <v>-13.469999999999999</v>
      </c>
    </row>
    <row r="34" spans="1:12" ht="30.75" x14ac:dyDescent="0.25">
      <c r="A34" s="207"/>
      <c r="B34" s="227"/>
      <c r="C34" s="236"/>
      <c r="D34" s="222"/>
      <c r="E34" s="210"/>
      <c r="F34" s="228"/>
      <c r="G34" s="207"/>
      <c r="H34" s="227"/>
      <c r="I34" s="236"/>
      <c r="J34" s="221"/>
      <c r="K34" s="210"/>
      <c r="L34" s="228"/>
    </row>
    <row r="35" spans="1:12" ht="30.75" x14ac:dyDescent="0.25">
      <c r="A35" s="207"/>
      <c r="B35" s="229"/>
      <c r="C35" s="237"/>
      <c r="D35" s="209"/>
      <c r="E35" s="210"/>
      <c r="F35" s="219"/>
      <c r="G35" s="207"/>
      <c r="H35" s="229"/>
      <c r="I35" s="237"/>
      <c r="J35" s="231"/>
      <c r="K35" s="210"/>
      <c r="L35" s="219"/>
    </row>
    <row r="36" spans="1:12" ht="30.75" x14ac:dyDescent="0.25">
      <c r="A36" s="207"/>
      <c r="B36" s="229" t="s">
        <v>152</v>
      </c>
      <c r="C36" s="208">
        <v>30</v>
      </c>
      <c r="D36" s="209" t="s">
        <v>145</v>
      </c>
      <c r="E36" s="210"/>
      <c r="F36" s="238"/>
      <c r="G36" s="207"/>
      <c r="H36" s="229" t="s">
        <v>152</v>
      </c>
      <c r="I36" s="208">
        <v>9</v>
      </c>
      <c r="J36" s="231" t="str">
        <f>D36</f>
        <v>чел</v>
      </c>
      <c r="K36" s="210"/>
      <c r="L36" s="238"/>
    </row>
    <row r="37" spans="1:12" ht="30" x14ac:dyDescent="0.25">
      <c r="A37" s="213">
        <v>1</v>
      </c>
      <c r="B37" s="214" t="s">
        <v>162</v>
      </c>
      <c r="C37" s="215" t="s">
        <v>8</v>
      </c>
      <c r="D37" s="214"/>
      <c r="E37" s="210">
        <f>82.5-20</f>
        <v>62.5</v>
      </c>
      <c r="F37" s="218"/>
      <c r="G37" s="213">
        <f>A37</f>
        <v>1</v>
      </c>
      <c r="H37" s="214" t="s">
        <v>162</v>
      </c>
      <c r="I37" s="215" t="s">
        <v>8</v>
      </c>
      <c r="J37" s="215"/>
      <c r="K37" s="210">
        <f>82.5-20</f>
        <v>62.5</v>
      </c>
      <c r="L37" s="217"/>
    </row>
    <row r="38" spans="1:12" ht="30" x14ac:dyDescent="0.25">
      <c r="A38" s="213">
        <f>A37+1</f>
        <v>2</v>
      </c>
      <c r="B38" s="214" t="s">
        <v>134</v>
      </c>
      <c r="C38" s="215" t="s">
        <v>33</v>
      </c>
      <c r="D38" s="214"/>
      <c r="E38" s="210">
        <v>34.700000000000003</v>
      </c>
      <c r="F38" s="218"/>
      <c r="G38" s="213">
        <f>A38</f>
        <v>2</v>
      </c>
      <c r="H38" s="214" t="s">
        <v>134</v>
      </c>
      <c r="I38" s="215" t="s">
        <v>34</v>
      </c>
      <c r="J38" s="215"/>
      <c r="K38" s="210">
        <v>43.7</v>
      </c>
      <c r="L38" s="217"/>
    </row>
    <row r="39" spans="1:12" ht="30" x14ac:dyDescent="0.25">
      <c r="A39" s="213"/>
      <c r="B39" s="214"/>
      <c r="C39" s="239"/>
      <c r="D39" s="214"/>
      <c r="E39" s="210"/>
      <c r="F39" s="218"/>
      <c r="G39" s="213"/>
      <c r="H39" s="214"/>
      <c r="I39" s="215"/>
      <c r="J39" s="215"/>
      <c r="K39" s="210"/>
      <c r="L39" s="217"/>
    </row>
    <row r="40" spans="1:12" ht="30.75" x14ac:dyDescent="0.25">
      <c r="A40" s="240"/>
      <c r="B40" s="214"/>
      <c r="C40" s="215"/>
      <c r="D40" s="215"/>
      <c r="E40" s="210"/>
      <c r="F40" s="241"/>
      <c r="G40" s="207"/>
      <c r="H40" s="214"/>
      <c r="I40" s="215"/>
      <c r="J40" s="215"/>
      <c r="K40" s="210"/>
      <c r="L40" s="219"/>
    </row>
    <row r="41" spans="1:12" ht="30.75" x14ac:dyDescent="0.25">
      <c r="A41" s="207"/>
      <c r="B41" s="220" t="s">
        <v>0</v>
      </c>
      <c r="C41" s="221"/>
      <c r="D41" s="222"/>
      <c r="E41" s="210">
        <v>97.2</v>
      </c>
      <c r="F41" s="223">
        <f>89.6-E41</f>
        <v>-7.6000000000000085</v>
      </c>
      <c r="G41" s="207"/>
      <c r="H41" s="235" t="str">
        <f>B41</f>
        <v>Итого:</v>
      </c>
      <c r="I41" s="221"/>
      <c r="J41" s="221"/>
      <c r="K41" s="210">
        <v>106.2</v>
      </c>
      <c r="L41" s="223">
        <f>98.6-K41</f>
        <v>-7.6000000000000085</v>
      </c>
    </row>
    <row r="42" spans="1:12" ht="27.75" x14ac:dyDescent="0.25">
      <c r="A42" s="240"/>
      <c r="B42" s="242"/>
      <c r="C42" s="242"/>
      <c r="D42" s="242"/>
      <c r="E42" s="243"/>
      <c r="F42" s="241"/>
      <c r="G42" s="244"/>
      <c r="H42" s="242"/>
      <c r="I42" s="242"/>
      <c r="J42" s="242"/>
      <c r="K42" s="245"/>
      <c r="L42" s="241"/>
    </row>
    <row r="43" spans="1:12" ht="26.25" x14ac:dyDescent="0.25">
      <c r="A43" s="246"/>
      <c r="B43" s="247"/>
      <c r="C43" s="248"/>
      <c r="D43" s="247"/>
      <c r="E43" s="249"/>
      <c r="F43" s="250"/>
      <c r="G43" s="251"/>
      <c r="H43" s="247"/>
      <c r="I43" s="248"/>
      <c r="J43" s="247"/>
      <c r="K43" s="249"/>
      <c r="L43" s="250"/>
    </row>
    <row r="44" spans="1:12" ht="30.75" x14ac:dyDescent="0.25">
      <c r="A44" s="207"/>
      <c r="B44" s="252" t="s">
        <v>71</v>
      </c>
      <c r="C44" s="222"/>
      <c r="D44" s="253" t="s">
        <v>72</v>
      </c>
      <c r="E44" s="254"/>
      <c r="F44" s="211"/>
      <c r="G44" s="212"/>
      <c r="H44" s="252" t="str">
        <f>B44</f>
        <v>Бухгалтер</v>
      </c>
      <c r="I44" s="222"/>
      <c r="J44" s="253" t="str">
        <f>D44</f>
        <v>Гудым Д.С.</v>
      </c>
      <c r="K44" s="254"/>
      <c r="L44" s="211"/>
    </row>
    <row r="45" spans="1:12" ht="31.5" thickBot="1" x14ac:dyDescent="0.3">
      <c r="A45" s="255"/>
      <c r="B45" s="256" t="s">
        <v>154</v>
      </c>
      <c r="C45" s="257"/>
      <c r="D45" s="258" t="s">
        <v>74</v>
      </c>
      <c r="E45" s="259"/>
      <c r="F45" s="260"/>
      <c r="G45" s="255"/>
      <c r="H45" s="256" t="str">
        <f>B45</f>
        <v>Зав.производством</v>
      </c>
      <c r="I45" s="257"/>
      <c r="J45" s="261" t="str">
        <f>D45</f>
        <v>Катанцева Я.В.</v>
      </c>
      <c r="K45" s="259"/>
      <c r="L45" s="260"/>
    </row>
    <row r="46" spans="1:12" ht="22.5" x14ac:dyDescent="0.25">
      <c r="A46" s="262"/>
      <c r="B46" s="263"/>
      <c r="C46" s="263"/>
      <c r="D46" s="263"/>
      <c r="E46" s="262"/>
      <c r="F46" s="262"/>
      <c r="G46" s="263"/>
      <c r="H46" s="263"/>
      <c r="I46" s="263"/>
      <c r="J46" s="263"/>
      <c r="K46" s="262"/>
      <c r="L46" s="262"/>
    </row>
    <row r="47" spans="1:12" ht="22.5" x14ac:dyDescent="0.25">
      <c r="A47" s="262"/>
      <c r="B47" s="263"/>
      <c r="C47" s="263"/>
      <c r="D47" s="263"/>
      <c r="E47" s="262"/>
      <c r="F47" s="262"/>
      <c r="G47" s="263"/>
      <c r="H47" s="263"/>
      <c r="I47" s="263"/>
      <c r="J47" s="263"/>
      <c r="K47" s="262"/>
      <c r="L47" s="262"/>
    </row>
    <row r="48" spans="1:12" ht="22.5" x14ac:dyDescent="0.25">
      <c r="A48" s="262"/>
      <c r="B48" s="263"/>
      <c r="C48" s="263"/>
      <c r="D48" s="263"/>
      <c r="E48" s="262"/>
      <c r="F48" s="262"/>
      <c r="G48" s="263"/>
      <c r="H48" s="263"/>
      <c r="I48" s="263"/>
      <c r="J48" s="263"/>
      <c r="K48" s="262"/>
      <c r="L48" s="262"/>
    </row>
    <row r="49" spans="1:12" ht="30" x14ac:dyDescent="0.25">
      <c r="A49" s="262"/>
      <c r="B49" s="214"/>
      <c r="C49" s="215"/>
      <c r="D49" s="215"/>
      <c r="E49" s="215"/>
      <c r="F49" s="262"/>
      <c r="G49" s="263"/>
      <c r="H49" s="263"/>
      <c r="I49" s="263"/>
      <c r="J49" s="263"/>
      <c r="K49" s="262"/>
      <c r="L49" s="262"/>
    </row>
  </sheetData>
  <mergeCells count="22">
    <mergeCell ref="C9:E9"/>
    <mergeCell ref="I9:K9"/>
    <mergeCell ref="A6:B6"/>
    <mergeCell ref="C6:F6"/>
    <mergeCell ref="G6:H6"/>
    <mergeCell ref="I6:L6"/>
    <mergeCell ref="C7:F7"/>
    <mergeCell ref="I7:L7"/>
    <mergeCell ref="A3:B3"/>
    <mergeCell ref="E3:F3"/>
    <mergeCell ref="G3:H3"/>
    <mergeCell ref="K3:L3"/>
    <mergeCell ref="A4:B4"/>
    <mergeCell ref="E4:F4"/>
    <mergeCell ref="G4:H4"/>
    <mergeCell ref="K4:L4"/>
    <mergeCell ref="A1:B1"/>
    <mergeCell ref="E1:F2"/>
    <mergeCell ref="G1:H1"/>
    <mergeCell ref="K1:L2"/>
    <mergeCell ref="A2:B2"/>
    <mergeCell ref="G2:H2"/>
  </mergeCells>
  <pageMargins left="0.7" right="0.7" top="0.75" bottom="0.75" header="0.3" footer="0.3"/>
  <pageSetup paperSize="9" scale="35" orientation="portrait" r:id="rId1"/>
  <colBreaks count="1" manualBreakCount="1">
    <brk id="6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37"/>
  <sheetViews>
    <sheetView view="pageBreakPreview" zoomScale="40" zoomScaleNormal="60" zoomScaleSheetLayoutView="40" workbookViewId="0">
      <selection activeCell="M30" sqref="M30:N31"/>
    </sheetView>
  </sheetViews>
  <sheetFormatPr defaultRowHeight="18.75" x14ac:dyDescent="0.3"/>
  <cols>
    <col min="1" max="2" width="25.7109375" style="80" customWidth="1"/>
    <col min="3" max="3" width="15.7109375" style="80" customWidth="1"/>
    <col min="4" max="4" width="83.28515625" style="80" customWidth="1"/>
    <col min="5" max="5" width="25.7109375" style="80" customWidth="1"/>
    <col min="6" max="6" width="27.42578125" style="80" customWidth="1"/>
    <col min="7" max="7" width="22.7109375" style="80" customWidth="1"/>
    <col min="8" max="8" width="24.5703125" style="80" customWidth="1"/>
    <col min="9" max="9" width="36.5703125" style="80" customWidth="1"/>
    <col min="10" max="11" width="25.7109375" style="80" customWidth="1"/>
    <col min="12" max="12" width="15.7109375" style="80" customWidth="1"/>
    <col min="13" max="13" width="82.28515625" style="80" customWidth="1"/>
    <col min="14" max="14" width="25.7109375" style="80" customWidth="1"/>
    <col min="15" max="15" width="25.5703125" style="80" customWidth="1"/>
    <col min="16" max="16" width="26.42578125" style="80" customWidth="1"/>
    <col min="17" max="17" width="23.42578125" style="80" customWidth="1"/>
    <col min="18" max="18" width="40.42578125" style="80" customWidth="1"/>
  </cols>
  <sheetData>
    <row r="1" spans="1:18" s="4" customFormat="1" ht="30" customHeight="1" x14ac:dyDescent="0.55000000000000004">
      <c r="A1" s="1" t="s">
        <v>40</v>
      </c>
      <c r="B1" s="1"/>
      <c r="C1" s="2"/>
      <c r="D1" s="2"/>
      <c r="E1" s="3"/>
      <c r="F1" s="320" t="s">
        <v>41</v>
      </c>
      <c r="G1" s="320"/>
      <c r="H1" s="320"/>
      <c r="I1" s="320"/>
      <c r="J1" s="1" t="s">
        <v>40</v>
      </c>
      <c r="K1" s="1"/>
      <c r="L1" s="2"/>
      <c r="M1" s="2"/>
      <c r="N1" s="3"/>
      <c r="O1" s="320" t="s">
        <v>41</v>
      </c>
      <c r="P1" s="320"/>
      <c r="Q1" s="320"/>
      <c r="R1" s="320"/>
    </row>
    <row r="2" spans="1:18" s="4" customFormat="1" ht="42" customHeight="1" x14ac:dyDescent="0.55000000000000004">
      <c r="A2" s="1" t="s">
        <v>42</v>
      </c>
      <c r="B2" s="1"/>
      <c r="C2" s="5"/>
      <c r="D2" s="5"/>
      <c r="E2" s="3"/>
      <c r="F2" s="320"/>
      <c r="G2" s="320"/>
      <c r="H2" s="320"/>
      <c r="I2" s="320"/>
      <c r="J2" s="1" t="s">
        <v>42</v>
      </c>
      <c r="K2" s="1"/>
      <c r="L2" s="5"/>
      <c r="M2" s="5"/>
      <c r="N2" s="3"/>
      <c r="O2" s="320"/>
      <c r="P2" s="320"/>
      <c r="Q2" s="320"/>
      <c r="R2" s="320"/>
    </row>
    <row r="3" spans="1:18" s="4" customFormat="1" ht="42" customHeight="1" x14ac:dyDescent="0.55000000000000004">
      <c r="A3" s="2" t="s">
        <v>44</v>
      </c>
      <c r="B3" s="2"/>
      <c r="C3" s="2"/>
      <c r="D3" s="2"/>
      <c r="E3" s="3"/>
      <c r="F3" s="319" t="s">
        <v>43</v>
      </c>
      <c r="G3" s="319"/>
      <c r="H3" s="319"/>
      <c r="I3" s="319"/>
      <c r="J3" s="2" t="s">
        <v>44</v>
      </c>
      <c r="K3" s="2"/>
      <c r="L3" s="2"/>
      <c r="M3" s="2"/>
      <c r="N3" s="3"/>
      <c r="O3" s="319" t="s">
        <v>43</v>
      </c>
      <c r="P3" s="319"/>
      <c r="Q3" s="319"/>
      <c r="R3" s="319"/>
    </row>
    <row r="4" spans="1:18" s="4" customFormat="1" ht="30" customHeight="1" x14ac:dyDescent="0.55000000000000004">
      <c r="A4" s="2" t="s">
        <v>45</v>
      </c>
      <c r="B4" s="2"/>
      <c r="C4" s="2"/>
      <c r="D4" s="2"/>
      <c r="E4" s="3"/>
      <c r="F4" s="2" t="s">
        <v>45</v>
      </c>
      <c r="G4" s="2"/>
      <c r="H4" s="6"/>
      <c r="I4" s="6"/>
      <c r="J4" s="2" t="s">
        <v>45</v>
      </c>
      <c r="K4" s="2"/>
      <c r="L4" s="2"/>
      <c r="M4" s="2"/>
      <c r="N4" s="3"/>
      <c r="O4" s="2" t="s">
        <v>45</v>
      </c>
      <c r="P4" s="2"/>
      <c r="Q4" s="6"/>
      <c r="R4" s="6"/>
    </row>
    <row r="5" spans="1:18" s="4" customFormat="1" ht="30" customHeight="1" x14ac:dyDescent="0.55000000000000004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s="4" customFormat="1" ht="30" customHeight="1" x14ac:dyDescent="0.55000000000000004">
      <c r="A6" s="323" t="s">
        <v>46</v>
      </c>
      <c r="B6" s="323"/>
      <c r="C6" s="322" t="s">
        <v>47</v>
      </c>
      <c r="D6" s="322"/>
      <c r="E6" s="322"/>
      <c r="F6" s="322"/>
      <c r="G6" s="322"/>
      <c r="H6" s="322"/>
      <c r="I6" s="322"/>
      <c r="J6" s="323" t="s">
        <v>46</v>
      </c>
      <c r="K6" s="323"/>
      <c r="L6" s="322" t="s">
        <v>47</v>
      </c>
      <c r="M6" s="322"/>
      <c r="N6" s="322"/>
      <c r="O6" s="322"/>
      <c r="P6" s="322"/>
      <c r="Q6" s="322"/>
      <c r="R6" s="322"/>
    </row>
    <row r="7" spans="1:18" s="4" customFormat="1" ht="30" customHeight="1" x14ac:dyDescent="0.55000000000000004">
      <c r="A7" s="8"/>
      <c r="B7" s="8"/>
      <c r="C7" s="322" t="s">
        <v>48</v>
      </c>
      <c r="D7" s="322"/>
      <c r="E7" s="322"/>
      <c r="F7" s="322"/>
      <c r="G7" s="322"/>
      <c r="H7" s="322"/>
      <c r="I7" s="322"/>
      <c r="J7" s="8"/>
      <c r="K7" s="8"/>
      <c r="L7" s="322" t="s">
        <v>48</v>
      </c>
      <c r="M7" s="322"/>
      <c r="N7" s="322"/>
      <c r="O7" s="322"/>
      <c r="P7" s="322"/>
      <c r="Q7" s="322"/>
      <c r="R7" s="322"/>
    </row>
    <row r="8" spans="1:18" s="4" customFormat="1" ht="30" customHeight="1" x14ac:dyDescent="0.55000000000000004">
      <c r="A8" s="8"/>
      <c r="B8" s="8"/>
      <c r="C8" s="9"/>
      <c r="D8" s="9"/>
      <c r="E8" s="9"/>
      <c r="F8" s="9"/>
      <c r="G8" s="9"/>
      <c r="H8" s="9"/>
      <c r="I8" s="9"/>
      <c r="J8" s="8"/>
      <c r="K8" s="8"/>
      <c r="L8" s="9"/>
      <c r="M8" s="9"/>
      <c r="N8" s="9"/>
      <c r="O8" s="9"/>
      <c r="P8" s="9"/>
      <c r="Q8" s="9"/>
      <c r="R8" s="9"/>
    </row>
    <row r="9" spans="1:18" s="4" customFormat="1" ht="30" customHeight="1" x14ac:dyDescent="0.55000000000000004">
      <c r="A9" s="10" t="s">
        <v>49</v>
      </c>
      <c r="B9" s="10"/>
      <c r="C9" s="10"/>
      <c r="D9" s="10"/>
      <c r="E9" s="81" t="s">
        <v>50</v>
      </c>
      <c r="F9" s="10"/>
      <c r="G9" s="10"/>
      <c r="H9" s="10"/>
      <c r="I9" s="10"/>
      <c r="J9" s="10" t="s">
        <v>49</v>
      </c>
      <c r="K9" s="10"/>
      <c r="L9" s="10"/>
      <c r="M9" s="10"/>
      <c r="N9" s="81" t="s">
        <v>50</v>
      </c>
      <c r="O9" s="10"/>
      <c r="P9" s="10"/>
      <c r="Q9" s="10"/>
      <c r="R9" s="10"/>
    </row>
    <row r="10" spans="1:18" s="4" customFormat="1" ht="30" customHeight="1" thickBot="1" x14ac:dyDescent="0.6">
      <c r="A10" s="11"/>
      <c r="B10" s="11"/>
      <c r="C10" s="11"/>
      <c r="D10" s="11"/>
      <c r="E10" s="11"/>
      <c r="F10" s="11"/>
      <c r="G10" s="11"/>
      <c r="H10" s="7"/>
      <c r="I10" s="7"/>
      <c r="J10" s="11"/>
      <c r="K10" s="11"/>
      <c r="L10" s="11"/>
      <c r="M10" s="11"/>
      <c r="N10" s="11"/>
      <c r="O10" s="11"/>
      <c r="P10" s="11"/>
      <c r="Q10" s="7"/>
      <c r="R10" s="7"/>
    </row>
    <row r="11" spans="1:18" s="15" customFormat="1" ht="30" customHeight="1" thickBot="1" x14ac:dyDescent="0.5">
      <c r="A11" s="12" t="s">
        <v>28</v>
      </c>
      <c r="B11" s="321" t="s">
        <v>27</v>
      </c>
      <c r="C11" s="321"/>
      <c r="D11" s="321"/>
      <c r="E11" s="321"/>
      <c r="F11" s="13" t="s">
        <v>26</v>
      </c>
      <c r="G11" s="13" t="s">
        <v>25</v>
      </c>
      <c r="H11" s="13" t="s">
        <v>24</v>
      </c>
      <c r="I11" s="14">
        <v>44662</v>
      </c>
      <c r="J11" s="12" t="s">
        <v>28</v>
      </c>
      <c r="K11" s="321" t="s">
        <v>27</v>
      </c>
      <c r="L11" s="321"/>
      <c r="M11" s="321"/>
      <c r="N11" s="321"/>
      <c r="O11" s="13" t="s">
        <v>26</v>
      </c>
      <c r="P11" s="13" t="s">
        <v>29</v>
      </c>
      <c r="Q11" s="13" t="s">
        <v>24</v>
      </c>
      <c r="R11" s="14">
        <f>I11</f>
        <v>44662</v>
      </c>
    </row>
    <row r="12" spans="1:18" s="19" customFormat="1" ht="35.25" customHeight="1" thickBot="1" x14ac:dyDescent="0.3">
      <c r="A12" s="16" t="s">
        <v>23</v>
      </c>
      <c r="B12" s="17" t="s">
        <v>22</v>
      </c>
      <c r="C12" s="17" t="s">
        <v>51</v>
      </c>
      <c r="D12" s="17" t="s">
        <v>21</v>
      </c>
      <c r="E12" s="17" t="s">
        <v>20</v>
      </c>
      <c r="F12" s="17" t="s">
        <v>19</v>
      </c>
      <c r="G12" s="17" t="s">
        <v>18</v>
      </c>
      <c r="H12" s="17" t="s">
        <v>17</v>
      </c>
      <c r="I12" s="18" t="s">
        <v>16</v>
      </c>
      <c r="J12" s="16" t="s">
        <v>23</v>
      </c>
      <c r="K12" s="17" t="s">
        <v>22</v>
      </c>
      <c r="L12" s="17" t="s">
        <v>51</v>
      </c>
      <c r="M12" s="17" t="s">
        <v>21</v>
      </c>
      <c r="N12" s="17" t="s">
        <v>20</v>
      </c>
      <c r="O12" s="17" t="s">
        <v>19</v>
      </c>
      <c r="P12" s="17" t="s">
        <v>18</v>
      </c>
      <c r="Q12" s="17" t="s">
        <v>17</v>
      </c>
      <c r="R12" s="18" t="s">
        <v>16</v>
      </c>
    </row>
    <row r="13" spans="1:18" s="28" customFormat="1" ht="30" customHeight="1" x14ac:dyDescent="0.25">
      <c r="A13" s="20" t="s">
        <v>15</v>
      </c>
      <c r="B13" s="21" t="s">
        <v>38</v>
      </c>
      <c r="C13" s="22">
        <v>32</v>
      </c>
      <c r="D13" s="23" t="s">
        <v>126</v>
      </c>
      <c r="E13" s="24" t="s">
        <v>127</v>
      </c>
      <c r="F13" s="25">
        <v>15.8</v>
      </c>
      <c r="G13" s="25">
        <v>8.1</v>
      </c>
      <c r="H13" s="26">
        <v>16</v>
      </c>
      <c r="I13" s="27">
        <v>200</v>
      </c>
      <c r="J13" s="54" t="s">
        <v>15</v>
      </c>
      <c r="K13" s="21" t="s">
        <v>38</v>
      </c>
      <c r="L13" s="22">
        <v>78</v>
      </c>
      <c r="M13" s="23" t="s">
        <v>126</v>
      </c>
      <c r="N13" s="24" t="s">
        <v>128</v>
      </c>
      <c r="O13" s="25">
        <f>15.8*1.2</f>
        <v>18.96</v>
      </c>
      <c r="P13" s="25">
        <f>8.1*1.2</f>
        <v>9.7199999999999989</v>
      </c>
      <c r="Q13" s="26">
        <f>16*1.2</f>
        <v>19.2</v>
      </c>
      <c r="R13" s="27">
        <f>200*1.2</f>
        <v>240</v>
      </c>
    </row>
    <row r="14" spans="1:18" s="28" customFormat="1" ht="33.75" customHeight="1" x14ac:dyDescent="0.25">
      <c r="A14" s="29"/>
      <c r="B14" s="37" t="s">
        <v>14</v>
      </c>
      <c r="C14" s="38">
        <f t="shared" ref="C14" si="0">C13</f>
        <v>32</v>
      </c>
      <c r="D14" s="32" t="s">
        <v>13</v>
      </c>
      <c r="E14" s="33" t="s">
        <v>12</v>
      </c>
      <c r="F14" s="34">
        <v>2.2999999999999998</v>
      </c>
      <c r="G14" s="34">
        <v>0.9</v>
      </c>
      <c r="H14" s="35">
        <v>14.9</v>
      </c>
      <c r="I14" s="36">
        <v>77</v>
      </c>
      <c r="J14" s="39"/>
      <c r="K14" s="37" t="s">
        <v>14</v>
      </c>
      <c r="L14" s="38">
        <f t="shared" ref="L14" si="1">L13</f>
        <v>78</v>
      </c>
      <c r="M14" s="32" t="s">
        <v>13</v>
      </c>
      <c r="N14" s="33" t="s">
        <v>12</v>
      </c>
      <c r="O14" s="34">
        <v>2.2999999999999998</v>
      </c>
      <c r="P14" s="34">
        <v>0.9</v>
      </c>
      <c r="Q14" s="35">
        <v>14.9</v>
      </c>
      <c r="R14" s="36">
        <v>77</v>
      </c>
    </row>
    <row r="15" spans="1:18" s="28" customFormat="1" ht="33.75" customHeight="1" x14ac:dyDescent="0.25">
      <c r="A15" s="29"/>
      <c r="B15" s="37" t="s">
        <v>1</v>
      </c>
      <c r="C15" s="38">
        <f>C14</f>
        <v>32</v>
      </c>
      <c r="D15" s="32" t="s">
        <v>35</v>
      </c>
      <c r="E15" s="33" t="s">
        <v>8</v>
      </c>
      <c r="F15" s="34">
        <v>0</v>
      </c>
      <c r="G15" s="34">
        <v>0</v>
      </c>
      <c r="H15" s="35">
        <v>10</v>
      </c>
      <c r="I15" s="36">
        <v>40</v>
      </c>
      <c r="J15" s="39"/>
      <c r="K15" s="37" t="s">
        <v>1</v>
      </c>
      <c r="L15" s="38">
        <f>L14</f>
        <v>78</v>
      </c>
      <c r="M15" s="32" t="s">
        <v>35</v>
      </c>
      <c r="N15" s="33" t="s">
        <v>8</v>
      </c>
      <c r="O15" s="34">
        <v>0</v>
      </c>
      <c r="P15" s="34">
        <v>0</v>
      </c>
      <c r="Q15" s="35">
        <v>10</v>
      </c>
      <c r="R15" s="36">
        <v>40</v>
      </c>
    </row>
    <row r="16" spans="1:18" s="28" customFormat="1" ht="33.75" customHeight="1" x14ac:dyDescent="0.25">
      <c r="A16" s="29"/>
      <c r="B16" s="37" t="s">
        <v>83</v>
      </c>
      <c r="C16" s="38">
        <f>C15</f>
        <v>32</v>
      </c>
      <c r="D16" s="32" t="s">
        <v>84</v>
      </c>
      <c r="E16" s="33" t="s">
        <v>81</v>
      </c>
      <c r="F16" s="34">
        <v>2.2999999999999998</v>
      </c>
      <c r="G16" s="34">
        <v>2.9</v>
      </c>
      <c r="H16" s="35">
        <v>0</v>
      </c>
      <c r="I16" s="36">
        <v>35</v>
      </c>
      <c r="J16" s="39"/>
      <c r="K16" s="37" t="s">
        <v>83</v>
      </c>
      <c r="L16" s="38">
        <f>L15</f>
        <v>78</v>
      </c>
      <c r="M16" s="32" t="s">
        <v>84</v>
      </c>
      <c r="N16" s="33" t="s">
        <v>81</v>
      </c>
      <c r="O16" s="34">
        <v>2.2999999999999998</v>
      </c>
      <c r="P16" s="34">
        <v>2.9</v>
      </c>
      <c r="Q16" s="35">
        <v>0</v>
      </c>
      <c r="R16" s="36">
        <v>35</v>
      </c>
    </row>
    <row r="17" spans="1:18" s="28" customFormat="1" ht="33.75" customHeight="1" x14ac:dyDescent="0.25">
      <c r="A17" s="29"/>
      <c r="B17" s="37"/>
      <c r="C17" s="38"/>
      <c r="D17" s="32"/>
      <c r="E17" s="33"/>
      <c r="F17" s="34"/>
      <c r="G17" s="34"/>
      <c r="H17" s="35"/>
      <c r="I17" s="36"/>
      <c r="J17" s="39"/>
      <c r="K17" s="37"/>
      <c r="L17" s="38"/>
      <c r="M17" s="32"/>
      <c r="N17" s="33"/>
      <c r="O17" s="34"/>
      <c r="P17" s="34"/>
      <c r="Q17" s="35"/>
      <c r="R17" s="36"/>
    </row>
    <row r="18" spans="1:18" s="28" customFormat="1" ht="33.75" customHeight="1" x14ac:dyDescent="0.4">
      <c r="A18" s="29"/>
      <c r="B18" s="30"/>
      <c r="C18" s="31"/>
      <c r="D18" s="32"/>
      <c r="E18" s="33"/>
      <c r="F18" s="35"/>
      <c r="G18" s="35"/>
      <c r="H18" s="35"/>
      <c r="I18" s="40"/>
      <c r="J18" s="39"/>
      <c r="K18" s="30"/>
      <c r="L18" s="31"/>
      <c r="M18" s="32"/>
      <c r="N18" s="33"/>
      <c r="O18" s="35"/>
      <c r="P18" s="35"/>
      <c r="Q18" s="35"/>
      <c r="R18" s="40"/>
    </row>
    <row r="19" spans="1:18" s="28" customFormat="1" ht="36" customHeight="1" thickBot="1" x14ac:dyDescent="0.3">
      <c r="A19" s="41"/>
      <c r="B19" s="42"/>
      <c r="C19" s="43"/>
      <c r="D19" s="44"/>
      <c r="E19" s="45"/>
      <c r="F19" s="46"/>
      <c r="G19" s="46"/>
      <c r="H19" s="46"/>
      <c r="I19" s="47"/>
      <c r="J19" s="48"/>
      <c r="K19" s="42"/>
      <c r="L19" s="43"/>
      <c r="M19" s="44"/>
      <c r="N19" s="45"/>
      <c r="O19" s="46"/>
      <c r="P19" s="46"/>
      <c r="Q19" s="46"/>
      <c r="R19" s="47"/>
    </row>
    <row r="20" spans="1:18" s="28" customFormat="1" ht="36" customHeight="1" thickBot="1" x14ac:dyDescent="0.3">
      <c r="A20" s="316" t="s">
        <v>0</v>
      </c>
      <c r="B20" s="317"/>
      <c r="C20" s="318"/>
      <c r="D20" s="49"/>
      <c r="E20" s="50"/>
      <c r="F20" s="51">
        <f>SUM(F13:F19)</f>
        <v>20.400000000000002</v>
      </c>
      <c r="G20" s="51">
        <f t="shared" ref="G20:I20" si="2">SUM(G13:G19)</f>
        <v>11.9</v>
      </c>
      <c r="H20" s="51">
        <f t="shared" si="2"/>
        <v>40.9</v>
      </c>
      <c r="I20" s="52">
        <f t="shared" si="2"/>
        <v>352</v>
      </c>
      <c r="J20" s="316" t="s">
        <v>0</v>
      </c>
      <c r="K20" s="317"/>
      <c r="L20" s="318"/>
      <c r="M20" s="49"/>
      <c r="N20" s="50"/>
      <c r="O20" s="51">
        <f>SUM(O13:O19)</f>
        <v>23.560000000000002</v>
      </c>
      <c r="P20" s="51">
        <f t="shared" ref="P20:R20" si="3">SUM(P13:P19)</f>
        <v>13.52</v>
      </c>
      <c r="Q20" s="51">
        <f t="shared" si="3"/>
        <v>44.1</v>
      </c>
      <c r="R20" s="52">
        <f t="shared" si="3"/>
        <v>392</v>
      </c>
    </row>
    <row r="21" spans="1:18" s="28" customFormat="1" ht="66" customHeight="1" x14ac:dyDescent="0.25">
      <c r="A21" s="20" t="s">
        <v>11</v>
      </c>
      <c r="B21" s="21" t="s">
        <v>30</v>
      </c>
      <c r="C21" s="22">
        <v>32</v>
      </c>
      <c r="D21" s="23" t="s">
        <v>135</v>
      </c>
      <c r="E21" s="24" t="s">
        <v>37</v>
      </c>
      <c r="F21" s="25">
        <v>0.5</v>
      </c>
      <c r="G21" s="25">
        <v>8</v>
      </c>
      <c r="H21" s="26">
        <v>2.6</v>
      </c>
      <c r="I21" s="27">
        <v>84</v>
      </c>
      <c r="J21" s="20" t="s">
        <v>11</v>
      </c>
      <c r="K21" s="21" t="s">
        <v>30</v>
      </c>
      <c r="L21" s="22">
        <v>86</v>
      </c>
      <c r="M21" s="23" t="s">
        <v>135</v>
      </c>
      <c r="N21" s="24" t="s">
        <v>37</v>
      </c>
      <c r="O21" s="25">
        <v>0.5</v>
      </c>
      <c r="P21" s="25">
        <v>8</v>
      </c>
      <c r="Q21" s="26">
        <v>2.6</v>
      </c>
      <c r="R21" s="27">
        <v>84</v>
      </c>
    </row>
    <row r="22" spans="1:18" s="55" customFormat="1" ht="67.5" customHeight="1" x14ac:dyDescent="0.25">
      <c r="A22" s="29"/>
      <c r="B22" s="37" t="s">
        <v>10</v>
      </c>
      <c r="C22" s="38">
        <f t="shared" ref="C22:C27" si="4">C21</f>
        <v>32</v>
      </c>
      <c r="D22" s="32" t="s">
        <v>136</v>
      </c>
      <c r="E22" s="33" t="s">
        <v>36</v>
      </c>
      <c r="F22" s="34">
        <v>18.2</v>
      </c>
      <c r="G22" s="34">
        <v>16.399999999999999</v>
      </c>
      <c r="H22" s="35">
        <v>18</v>
      </c>
      <c r="I22" s="36">
        <v>293</v>
      </c>
      <c r="J22" s="39"/>
      <c r="K22" s="37" t="s">
        <v>10</v>
      </c>
      <c r="L22" s="38">
        <f t="shared" ref="L22:L27" si="5">L21</f>
        <v>86</v>
      </c>
      <c r="M22" s="32" t="s">
        <v>136</v>
      </c>
      <c r="N22" s="33" t="s">
        <v>36</v>
      </c>
      <c r="O22" s="34">
        <v>18.2</v>
      </c>
      <c r="P22" s="34">
        <v>16.399999999999999</v>
      </c>
      <c r="Q22" s="35">
        <v>18</v>
      </c>
      <c r="R22" s="36">
        <v>293</v>
      </c>
    </row>
    <row r="23" spans="1:18" s="58" customFormat="1" ht="30" customHeight="1" x14ac:dyDescent="0.4">
      <c r="A23" s="56"/>
      <c r="B23" s="30" t="s">
        <v>9</v>
      </c>
      <c r="C23" s="38">
        <f t="shared" si="4"/>
        <v>32</v>
      </c>
      <c r="D23" s="32" t="s">
        <v>137</v>
      </c>
      <c r="E23" s="33" t="s">
        <v>89</v>
      </c>
      <c r="F23" s="34">
        <v>16.5</v>
      </c>
      <c r="G23" s="34">
        <v>4</v>
      </c>
      <c r="H23" s="35">
        <v>3</v>
      </c>
      <c r="I23" s="36">
        <v>144</v>
      </c>
      <c r="J23" s="57"/>
      <c r="K23" s="30" t="s">
        <v>9</v>
      </c>
      <c r="L23" s="38">
        <f t="shared" si="5"/>
        <v>86</v>
      </c>
      <c r="M23" s="32" t="s">
        <v>137</v>
      </c>
      <c r="N23" s="33" t="s">
        <v>90</v>
      </c>
      <c r="O23" s="34">
        <v>19.899999999999999</v>
      </c>
      <c r="P23" s="34">
        <v>5</v>
      </c>
      <c r="Q23" s="35">
        <v>3.9</v>
      </c>
      <c r="R23" s="36">
        <v>140</v>
      </c>
    </row>
    <row r="24" spans="1:18" s="58" customFormat="1" ht="30" customHeight="1" x14ac:dyDescent="0.4">
      <c r="A24" s="56"/>
      <c r="B24" s="30" t="s">
        <v>91</v>
      </c>
      <c r="C24" s="31">
        <f t="shared" si="4"/>
        <v>32</v>
      </c>
      <c r="D24" s="32" t="s">
        <v>93</v>
      </c>
      <c r="E24" s="33" t="s">
        <v>31</v>
      </c>
      <c r="F24" s="34">
        <f>7.2/2*1.5</f>
        <v>5.4</v>
      </c>
      <c r="G24" s="34">
        <f>4.4/2*1.5</f>
        <v>3.3000000000000003</v>
      </c>
      <c r="H24" s="34">
        <f>34.2/2*1.5</f>
        <v>25.650000000000002</v>
      </c>
      <c r="I24" s="36">
        <f>197.4/2*1.5</f>
        <v>148.05000000000001</v>
      </c>
      <c r="J24" s="56"/>
      <c r="K24" s="30" t="s">
        <v>91</v>
      </c>
      <c r="L24" s="31">
        <f t="shared" si="5"/>
        <v>86</v>
      </c>
      <c r="M24" s="32" t="s">
        <v>93</v>
      </c>
      <c r="N24" s="33" t="s">
        <v>32</v>
      </c>
      <c r="O24" s="34">
        <f>7.2/2*1.8</f>
        <v>6.48</v>
      </c>
      <c r="P24" s="34">
        <f>4.4/2*1.8</f>
        <v>3.9600000000000004</v>
      </c>
      <c r="Q24" s="34">
        <f>34.2/2*1.8</f>
        <v>30.780000000000005</v>
      </c>
      <c r="R24" s="36">
        <f>197.4/2*1.8</f>
        <v>177.66</v>
      </c>
    </row>
    <row r="25" spans="1:18" s="28" customFormat="1" ht="33.75" customHeight="1" x14ac:dyDescent="0.25">
      <c r="A25" s="29"/>
      <c r="B25" s="37" t="s">
        <v>1</v>
      </c>
      <c r="C25" s="38">
        <f t="shared" si="4"/>
        <v>32</v>
      </c>
      <c r="D25" s="32" t="s">
        <v>138</v>
      </c>
      <c r="E25" s="33" t="s">
        <v>8</v>
      </c>
      <c r="F25" s="34">
        <v>0</v>
      </c>
      <c r="G25" s="34">
        <v>0</v>
      </c>
      <c r="H25" s="35">
        <v>10</v>
      </c>
      <c r="I25" s="36">
        <v>40</v>
      </c>
      <c r="J25" s="39"/>
      <c r="K25" s="37" t="s">
        <v>1</v>
      </c>
      <c r="L25" s="38">
        <f t="shared" si="5"/>
        <v>86</v>
      </c>
      <c r="M25" s="32" t="s">
        <v>138</v>
      </c>
      <c r="N25" s="33" t="s">
        <v>8</v>
      </c>
      <c r="O25" s="34">
        <v>0</v>
      </c>
      <c r="P25" s="34">
        <v>0</v>
      </c>
      <c r="Q25" s="35">
        <v>10</v>
      </c>
      <c r="R25" s="36">
        <v>40</v>
      </c>
    </row>
    <row r="26" spans="1:18" s="59" customFormat="1" ht="33.75" customHeight="1" x14ac:dyDescent="0.25">
      <c r="A26" s="29"/>
      <c r="B26" s="37" t="s">
        <v>7</v>
      </c>
      <c r="C26" s="38">
        <f t="shared" si="4"/>
        <v>32</v>
      </c>
      <c r="D26" s="32" t="s">
        <v>6</v>
      </c>
      <c r="E26" s="33" t="s">
        <v>3</v>
      </c>
      <c r="F26" s="34">
        <v>2.5</v>
      </c>
      <c r="G26" s="34">
        <v>0.4</v>
      </c>
      <c r="H26" s="35">
        <v>10.8</v>
      </c>
      <c r="I26" s="36">
        <v>57</v>
      </c>
      <c r="J26" s="39"/>
      <c r="K26" s="37" t="s">
        <v>7</v>
      </c>
      <c r="L26" s="38">
        <f t="shared" si="5"/>
        <v>86</v>
      </c>
      <c r="M26" s="32" t="s">
        <v>6</v>
      </c>
      <c r="N26" s="33" t="s">
        <v>3</v>
      </c>
      <c r="O26" s="34">
        <v>2.5</v>
      </c>
      <c r="P26" s="34">
        <v>0.4</v>
      </c>
      <c r="Q26" s="35">
        <v>10.8</v>
      </c>
      <c r="R26" s="36">
        <v>57</v>
      </c>
    </row>
    <row r="27" spans="1:18" s="59" customFormat="1" ht="33.75" customHeight="1" x14ac:dyDescent="0.25">
      <c r="A27" s="29"/>
      <c r="B27" s="37" t="s">
        <v>5</v>
      </c>
      <c r="C27" s="38">
        <f t="shared" si="4"/>
        <v>32</v>
      </c>
      <c r="D27" s="32" t="s">
        <v>4</v>
      </c>
      <c r="E27" s="33" t="s">
        <v>3</v>
      </c>
      <c r="F27" s="34">
        <v>2.5</v>
      </c>
      <c r="G27" s="34">
        <v>0.8</v>
      </c>
      <c r="H27" s="35">
        <v>14.1</v>
      </c>
      <c r="I27" s="36">
        <v>74</v>
      </c>
      <c r="J27" s="39"/>
      <c r="K27" s="37" t="s">
        <v>5</v>
      </c>
      <c r="L27" s="38">
        <f t="shared" si="5"/>
        <v>86</v>
      </c>
      <c r="M27" s="32" t="s">
        <v>4</v>
      </c>
      <c r="N27" s="33" t="s">
        <v>3</v>
      </c>
      <c r="O27" s="34">
        <v>2.5</v>
      </c>
      <c r="P27" s="34">
        <v>0.8</v>
      </c>
      <c r="Q27" s="35">
        <v>14.1</v>
      </c>
      <c r="R27" s="36">
        <v>74</v>
      </c>
    </row>
    <row r="28" spans="1:18" s="28" customFormat="1" ht="30" customHeight="1" thickBot="1" x14ac:dyDescent="0.3">
      <c r="A28" s="41"/>
      <c r="B28" s="42"/>
      <c r="C28" s="43"/>
      <c r="D28" s="44"/>
      <c r="E28" s="45"/>
      <c r="F28" s="46"/>
      <c r="G28" s="46"/>
      <c r="H28" s="60"/>
      <c r="I28" s="47"/>
      <c r="J28" s="48"/>
      <c r="K28" s="42"/>
      <c r="L28" s="43"/>
      <c r="M28" s="44"/>
      <c r="N28" s="45"/>
      <c r="O28" s="46"/>
      <c r="P28" s="46"/>
      <c r="Q28" s="60"/>
      <c r="R28" s="47"/>
    </row>
    <row r="29" spans="1:18" s="28" customFormat="1" ht="30" customHeight="1" thickBot="1" x14ac:dyDescent="0.3">
      <c r="A29" s="310" t="s">
        <v>0</v>
      </c>
      <c r="B29" s="311"/>
      <c r="C29" s="312"/>
      <c r="D29" s="61"/>
      <c r="E29" s="62"/>
      <c r="F29" s="63">
        <f>SUM(F21:F28)</f>
        <v>45.6</v>
      </c>
      <c r="G29" s="63">
        <f>SUM(G21:G28)</f>
        <v>32.9</v>
      </c>
      <c r="H29" s="63">
        <f>SUM(H21:H28)</f>
        <v>84.149999999999991</v>
      </c>
      <c r="I29" s="64">
        <f>SUM(I21:I28)</f>
        <v>840.05</v>
      </c>
      <c r="J29" s="310" t="s">
        <v>0</v>
      </c>
      <c r="K29" s="311"/>
      <c r="L29" s="312"/>
      <c r="M29" s="61"/>
      <c r="N29" s="62"/>
      <c r="O29" s="63">
        <f>SUM(O21:O28)</f>
        <v>50.08</v>
      </c>
      <c r="P29" s="63">
        <f>SUM(P21:P28)</f>
        <v>34.559999999999995</v>
      </c>
      <c r="Q29" s="63">
        <f>SUM(Q21:Q28)</f>
        <v>90.179999999999993</v>
      </c>
      <c r="R29" s="64">
        <f>SUM(R21:R28)</f>
        <v>865.66</v>
      </c>
    </row>
    <row r="30" spans="1:18" s="28" customFormat="1" ht="30" customHeight="1" x14ac:dyDescent="0.4">
      <c r="A30" s="20" t="s">
        <v>2</v>
      </c>
      <c r="B30" s="31" t="s">
        <v>1</v>
      </c>
      <c r="C30" s="65">
        <v>31</v>
      </c>
      <c r="D30" s="32" t="s">
        <v>162</v>
      </c>
      <c r="E30" s="33" t="s">
        <v>8</v>
      </c>
      <c r="F30" s="25">
        <v>0.6</v>
      </c>
      <c r="G30" s="25"/>
      <c r="H30" s="26">
        <v>33</v>
      </c>
      <c r="I30" s="27">
        <v>136</v>
      </c>
      <c r="J30" s="20" t="s">
        <v>2</v>
      </c>
      <c r="K30" s="31" t="s">
        <v>1</v>
      </c>
      <c r="L30" s="65">
        <v>9</v>
      </c>
      <c r="M30" s="32" t="s">
        <v>39</v>
      </c>
      <c r="N30" s="33" t="s">
        <v>8</v>
      </c>
      <c r="O30" s="25">
        <v>0.6</v>
      </c>
      <c r="P30" s="25"/>
      <c r="Q30" s="26">
        <v>33</v>
      </c>
      <c r="R30" s="27">
        <v>136</v>
      </c>
    </row>
    <row r="31" spans="1:18" s="58" customFormat="1" ht="30" customHeight="1" x14ac:dyDescent="0.4">
      <c r="A31" s="56"/>
      <c r="B31" s="30" t="s">
        <v>97</v>
      </c>
      <c r="C31" s="31">
        <f>C30</f>
        <v>31</v>
      </c>
      <c r="D31" s="32" t="s">
        <v>103</v>
      </c>
      <c r="E31" s="33" t="s">
        <v>33</v>
      </c>
      <c r="F31" s="34">
        <f>11.3/8*7</f>
        <v>9.8875000000000011</v>
      </c>
      <c r="G31" s="34">
        <f>12.2/8*7</f>
        <v>10.674999999999999</v>
      </c>
      <c r="H31" s="34">
        <f>40.9/8*7</f>
        <v>35.787500000000001</v>
      </c>
      <c r="I31" s="36">
        <f>315.6/8*7</f>
        <v>276.15000000000003</v>
      </c>
      <c r="J31" s="56"/>
      <c r="K31" s="30" t="s">
        <v>97</v>
      </c>
      <c r="L31" s="31">
        <f>L30</f>
        <v>9</v>
      </c>
      <c r="M31" s="32" t="s">
        <v>103</v>
      </c>
      <c r="N31" s="33" t="s">
        <v>34</v>
      </c>
      <c r="O31" s="34">
        <f>11.3/8*9</f>
        <v>12.7125</v>
      </c>
      <c r="P31" s="34">
        <f>12.2/8*9</f>
        <v>13.725</v>
      </c>
      <c r="Q31" s="34">
        <f>40.9/8*9</f>
        <v>46.012499999999996</v>
      </c>
      <c r="R31" s="36">
        <f>315.6/8*9</f>
        <v>355.05</v>
      </c>
    </row>
    <row r="32" spans="1:18" s="28" customFormat="1" ht="30" customHeight="1" thickBot="1" x14ac:dyDescent="0.45">
      <c r="A32" s="41"/>
      <c r="B32" s="43"/>
      <c r="C32" s="66"/>
      <c r="D32" s="44"/>
      <c r="E32" s="45"/>
      <c r="F32" s="46"/>
      <c r="G32" s="60"/>
      <c r="H32" s="60"/>
      <c r="I32" s="67"/>
      <c r="J32" s="41"/>
      <c r="K32" s="68"/>
      <c r="L32" s="69"/>
      <c r="M32" s="44"/>
      <c r="N32" s="45"/>
      <c r="O32" s="60"/>
      <c r="P32" s="60"/>
      <c r="Q32" s="60"/>
      <c r="R32" s="67"/>
    </row>
    <row r="33" spans="1:18" s="28" customFormat="1" ht="30" customHeight="1" thickBot="1" x14ac:dyDescent="0.3">
      <c r="A33" s="310" t="s">
        <v>0</v>
      </c>
      <c r="B33" s="311"/>
      <c r="C33" s="312"/>
      <c r="D33" s="61"/>
      <c r="E33" s="62"/>
      <c r="F33" s="63">
        <f>SUM(F30:F32)</f>
        <v>10.487500000000001</v>
      </c>
      <c r="G33" s="63">
        <f>SUM(G30:G32)</f>
        <v>10.674999999999999</v>
      </c>
      <c r="H33" s="63">
        <f>SUM(H30:H32)</f>
        <v>68.787499999999994</v>
      </c>
      <c r="I33" s="64">
        <f>SUM(I30:I32)</f>
        <v>412.15000000000003</v>
      </c>
      <c r="J33" s="313" t="s">
        <v>0</v>
      </c>
      <c r="K33" s="314"/>
      <c r="L33" s="315"/>
      <c r="M33" s="61"/>
      <c r="N33" s="62"/>
      <c r="O33" s="63">
        <f>SUM(O30:O32)</f>
        <v>13.3125</v>
      </c>
      <c r="P33" s="63">
        <f>SUM(P30:P32)</f>
        <v>13.725</v>
      </c>
      <c r="Q33" s="63">
        <f>SUM(Q30:Q32)</f>
        <v>79.012499999999989</v>
      </c>
      <c r="R33" s="64">
        <f>SUM(R30:R32)</f>
        <v>491.05</v>
      </c>
    </row>
    <row r="34" spans="1:18" s="55" customFormat="1" ht="24.95" customHeight="1" x14ac:dyDescent="0.25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</row>
    <row r="35" spans="1:18" s="28" customFormat="1" ht="24.95" customHeight="1" x14ac:dyDescent="0.45">
      <c r="A35" s="58"/>
      <c r="B35" s="71"/>
      <c r="C35" s="71"/>
      <c r="D35" s="73" t="s">
        <v>71</v>
      </c>
      <c r="E35" s="74"/>
      <c r="F35" s="75" t="s">
        <v>72</v>
      </c>
      <c r="G35" s="75"/>
      <c r="H35" s="76"/>
      <c r="I35" s="58"/>
      <c r="J35" s="58"/>
      <c r="K35" s="71"/>
      <c r="L35" s="71"/>
      <c r="M35" s="73" t="s">
        <v>71</v>
      </c>
      <c r="N35" s="74"/>
      <c r="O35" s="75" t="s">
        <v>72</v>
      </c>
      <c r="P35" s="75"/>
      <c r="Q35" s="72"/>
      <c r="R35" s="58"/>
    </row>
    <row r="36" spans="1:18" s="78" customFormat="1" ht="24.95" customHeight="1" x14ac:dyDescent="0.45">
      <c r="A36" s="58"/>
      <c r="B36" s="71"/>
      <c r="C36" s="71"/>
      <c r="D36" s="73"/>
      <c r="E36" s="74"/>
      <c r="F36" s="75"/>
      <c r="G36" s="75"/>
      <c r="H36" s="77"/>
      <c r="I36" s="71"/>
      <c r="J36" s="58"/>
      <c r="K36" s="71"/>
      <c r="L36" s="71"/>
      <c r="M36" s="73"/>
      <c r="N36" s="74"/>
      <c r="O36" s="75"/>
      <c r="P36" s="75"/>
      <c r="Q36" s="77"/>
      <c r="R36" s="71"/>
    </row>
    <row r="37" spans="1:18" s="71" customFormat="1" ht="24.95" customHeight="1" x14ac:dyDescent="0.45">
      <c r="A37" s="58"/>
      <c r="D37" s="73" t="s">
        <v>73</v>
      </c>
      <c r="E37" s="74"/>
      <c r="F37" s="180" t="s">
        <v>74</v>
      </c>
      <c r="G37" s="180"/>
      <c r="J37" s="58"/>
      <c r="M37" s="73" t="s">
        <v>73</v>
      </c>
      <c r="N37" s="74"/>
      <c r="O37" s="180" t="s">
        <v>74</v>
      </c>
      <c r="P37" s="180"/>
    </row>
  </sheetData>
  <mergeCells count="18">
    <mergeCell ref="F3:I3"/>
    <mergeCell ref="O3:R3"/>
    <mergeCell ref="F1:I2"/>
    <mergeCell ref="O1:R2"/>
    <mergeCell ref="B11:E11"/>
    <mergeCell ref="K11:N11"/>
    <mergeCell ref="C7:I7"/>
    <mergeCell ref="L7:R7"/>
    <mergeCell ref="J6:K6"/>
    <mergeCell ref="L6:R6"/>
    <mergeCell ref="A6:B6"/>
    <mergeCell ref="C6:I6"/>
    <mergeCell ref="A33:C33"/>
    <mergeCell ref="J33:L33"/>
    <mergeCell ref="A29:C29"/>
    <mergeCell ref="J29:L29"/>
    <mergeCell ref="A20:C20"/>
    <mergeCell ref="J20:L20"/>
  </mergeCells>
  <pageMargins left="0.7" right="0.7" top="0.75" bottom="0.75" header="0.3" footer="0.3"/>
  <pageSetup paperSize="9" scale="39" orientation="landscape" r:id="rId1"/>
  <colBreaks count="1" manualBreakCount="1">
    <brk id="9" max="37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view="pageBreakPreview" topLeftCell="A7" zoomScale="40" zoomScaleNormal="40" zoomScaleSheetLayoutView="40" workbookViewId="0">
      <selection activeCell="F47" sqref="F47"/>
    </sheetView>
  </sheetViews>
  <sheetFormatPr defaultRowHeight="23.25" x14ac:dyDescent="0.25"/>
  <cols>
    <col min="1" max="1" width="5.28515625" style="264" customWidth="1"/>
    <col min="2" max="2" width="90.28515625" style="265" customWidth="1"/>
    <col min="3" max="3" width="20" style="265" customWidth="1"/>
    <col min="4" max="4" width="11.7109375" style="265" customWidth="1"/>
    <col min="5" max="6" width="60.7109375" style="264" customWidth="1"/>
    <col min="7" max="7" width="5.7109375" style="265" customWidth="1"/>
    <col min="8" max="8" width="95.7109375" style="265" customWidth="1"/>
    <col min="9" max="9" width="18.5703125" style="265" customWidth="1"/>
    <col min="10" max="10" width="12" style="265" customWidth="1"/>
    <col min="11" max="11" width="60.7109375" style="264" customWidth="1"/>
    <col min="12" max="12" width="55" style="264" customWidth="1"/>
  </cols>
  <sheetData>
    <row r="1" spans="1:12" ht="33.75" customHeight="1" x14ac:dyDescent="0.25">
      <c r="A1" s="303" t="s">
        <v>40</v>
      </c>
      <c r="B1" s="303"/>
      <c r="C1" s="86"/>
      <c r="D1" s="86"/>
      <c r="E1" s="304" t="s">
        <v>41</v>
      </c>
      <c r="F1" s="304"/>
      <c r="G1" s="303" t="s">
        <v>40</v>
      </c>
      <c r="H1" s="303"/>
      <c r="I1" s="86"/>
      <c r="J1" s="86"/>
      <c r="K1" s="304" t="s">
        <v>41</v>
      </c>
      <c r="L1" s="304"/>
    </row>
    <row r="2" spans="1:12" ht="92.25" customHeight="1" x14ac:dyDescent="0.25">
      <c r="A2" s="305" t="s">
        <v>42</v>
      </c>
      <c r="B2" s="305"/>
      <c r="C2" s="86"/>
      <c r="D2" s="86"/>
      <c r="E2" s="304"/>
      <c r="F2" s="304"/>
      <c r="G2" s="305" t="s">
        <v>42</v>
      </c>
      <c r="H2" s="305"/>
      <c r="I2" s="86"/>
      <c r="J2" s="86"/>
      <c r="K2" s="304"/>
      <c r="L2" s="304"/>
    </row>
    <row r="3" spans="1:12" ht="33.75" customHeight="1" x14ac:dyDescent="0.25">
      <c r="A3" s="303" t="s">
        <v>139</v>
      </c>
      <c r="B3" s="303"/>
      <c r="C3" s="86"/>
      <c r="D3" s="86"/>
      <c r="E3" s="304" t="s">
        <v>75</v>
      </c>
      <c r="F3" s="304"/>
      <c r="G3" s="303" t="s">
        <v>139</v>
      </c>
      <c r="H3" s="303"/>
      <c r="I3" s="86"/>
      <c r="J3" s="86"/>
      <c r="K3" s="304" t="s">
        <v>75</v>
      </c>
      <c r="L3" s="304"/>
    </row>
    <row r="4" spans="1:12" ht="33" x14ac:dyDescent="0.25">
      <c r="A4" s="306" t="s">
        <v>45</v>
      </c>
      <c r="B4" s="306"/>
      <c r="C4" s="86"/>
      <c r="D4" s="86"/>
      <c r="E4" s="306" t="s">
        <v>45</v>
      </c>
      <c r="F4" s="306"/>
      <c r="G4" s="306" t="s">
        <v>45</v>
      </c>
      <c r="H4" s="306"/>
      <c r="I4" s="86"/>
      <c r="J4" s="86"/>
      <c r="K4" s="306" t="s">
        <v>45</v>
      </c>
      <c r="L4" s="306"/>
    </row>
    <row r="5" spans="1:12" ht="33.75" x14ac:dyDescent="0.25">
      <c r="A5" s="182"/>
      <c r="B5" s="182"/>
      <c r="C5" s="182"/>
      <c r="D5" s="182"/>
      <c r="E5" s="86"/>
      <c r="F5" s="86"/>
      <c r="G5" s="182"/>
      <c r="H5" s="182"/>
      <c r="I5" s="182"/>
      <c r="J5" s="182"/>
      <c r="K5" s="86"/>
      <c r="L5" s="86"/>
    </row>
    <row r="6" spans="1:12" ht="87.75" customHeight="1" x14ac:dyDescent="0.25">
      <c r="A6" s="308" t="s">
        <v>46</v>
      </c>
      <c r="B6" s="308"/>
      <c r="C6" s="309" t="s">
        <v>47</v>
      </c>
      <c r="D6" s="309"/>
      <c r="E6" s="309"/>
      <c r="F6" s="309"/>
      <c r="G6" s="308" t="s">
        <v>46</v>
      </c>
      <c r="H6" s="308"/>
      <c r="I6" s="309" t="s">
        <v>47</v>
      </c>
      <c r="J6" s="309"/>
      <c r="K6" s="309"/>
      <c r="L6" s="309"/>
    </row>
    <row r="7" spans="1:12" ht="33" customHeight="1" x14ac:dyDescent="0.25">
      <c r="A7" s="183"/>
      <c r="B7" s="183"/>
      <c r="C7" s="309" t="s">
        <v>48</v>
      </c>
      <c r="D7" s="309"/>
      <c r="E7" s="309"/>
      <c r="F7" s="309"/>
      <c r="G7" s="183"/>
      <c r="H7" s="183"/>
      <c r="I7" s="309" t="s">
        <v>48</v>
      </c>
      <c r="J7" s="309"/>
      <c r="K7" s="309"/>
      <c r="L7" s="309"/>
    </row>
    <row r="8" spans="1:12" ht="33" x14ac:dyDescent="0.25">
      <c r="A8" s="183"/>
      <c r="B8" s="183"/>
      <c r="C8" s="184"/>
      <c r="D8" s="184"/>
      <c r="E8" s="184"/>
      <c r="F8" s="184"/>
      <c r="G8" s="183"/>
      <c r="H8" s="183"/>
      <c r="I8" s="184"/>
      <c r="J8" s="184"/>
      <c r="K8" s="184"/>
      <c r="L8" s="184"/>
    </row>
    <row r="9" spans="1:12" ht="44.25" customHeight="1" x14ac:dyDescent="0.25">
      <c r="A9" s="185" t="s">
        <v>49</v>
      </c>
      <c r="B9" s="185"/>
      <c r="C9" s="307" t="s">
        <v>140</v>
      </c>
      <c r="D9" s="307"/>
      <c r="E9" s="307"/>
      <c r="F9" s="185"/>
      <c r="G9" s="185" t="s">
        <v>49</v>
      </c>
      <c r="H9" s="185"/>
      <c r="I9" s="307" t="s">
        <v>141</v>
      </c>
      <c r="J9" s="307"/>
      <c r="K9" s="307"/>
      <c r="L9" s="185"/>
    </row>
    <row r="10" spans="1:12" ht="28.5" thickBot="1" x14ac:dyDescent="0.3">
      <c r="A10" s="75"/>
      <c r="B10" s="186"/>
      <c r="C10" s="187"/>
      <c r="D10" s="187"/>
      <c r="E10" s="188"/>
      <c r="F10" s="75"/>
      <c r="G10" s="75"/>
      <c r="H10" s="186"/>
      <c r="I10" s="189"/>
      <c r="J10" s="189"/>
      <c r="K10" s="188"/>
      <c r="L10" s="75"/>
    </row>
    <row r="11" spans="1:12" ht="81.75" customHeight="1" thickBot="1" x14ac:dyDescent="0.3">
      <c r="A11" s="190"/>
      <c r="B11" s="191"/>
      <c r="C11" s="192" t="s">
        <v>142</v>
      </c>
      <c r="D11" s="192"/>
      <c r="E11" s="193" t="s">
        <v>143</v>
      </c>
      <c r="F11" s="194">
        <v>44662</v>
      </c>
      <c r="G11" s="195"/>
      <c r="H11" s="191"/>
      <c r="I11" s="192" t="str">
        <f>C11</f>
        <v>Выход, гр</v>
      </c>
      <c r="J11" s="192"/>
      <c r="K11" s="193" t="str">
        <f>E11</f>
        <v>Цена Продажная</v>
      </c>
      <c r="L11" s="196">
        <f>F11</f>
        <v>44662</v>
      </c>
    </row>
    <row r="12" spans="1:12" ht="33" customHeight="1" x14ac:dyDescent="0.25">
      <c r="A12" s="197"/>
      <c r="B12" s="198"/>
      <c r="C12" s="199"/>
      <c r="D12" s="198"/>
      <c r="E12" s="200"/>
      <c r="F12" s="201"/>
      <c r="G12" s="202"/>
      <c r="H12" s="203"/>
      <c r="I12" s="204"/>
      <c r="J12" s="203"/>
      <c r="K12" s="205"/>
      <c r="L12" s="206"/>
    </row>
    <row r="13" spans="1:12" ht="30.75" x14ac:dyDescent="0.25">
      <c r="A13" s="207"/>
      <c r="B13" s="208" t="s">
        <v>144</v>
      </c>
      <c r="C13" s="208">
        <v>32</v>
      </c>
      <c r="D13" s="209" t="s">
        <v>145</v>
      </c>
      <c r="E13" s="210"/>
      <c r="F13" s="211"/>
      <c r="G13" s="212"/>
      <c r="H13" s="208" t="str">
        <f>B13</f>
        <v>ЗАВТРАК</v>
      </c>
      <c r="I13" s="208">
        <v>78</v>
      </c>
      <c r="J13" s="209" t="str">
        <f>D13</f>
        <v>чел</v>
      </c>
      <c r="K13" s="210"/>
      <c r="L13" s="211"/>
    </row>
    <row r="14" spans="1:12" ht="30" x14ac:dyDescent="0.25">
      <c r="A14" s="213">
        <v>1</v>
      </c>
      <c r="B14" s="214" t="s">
        <v>126</v>
      </c>
      <c r="C14" s="215" t="s">
        <v>127</v>
      </c>
      <c r="D14" s="215"/>
      <c r="E14" s="210">
        <f>100-19.88-23</f>
        <v>57.120000000000005</v>
      </c>
      <c r="F14" s="216"/>
      <c r="G14" s="213">
        <v>1</v>
      </c>
      <c r="H14" s="214" t="s">
        <v>126</v>
      </c>
      <c r="I14" s="215" t="s">
        <v>128</v>
      </c>
      <c r="J14" s="214"/>
      <c r="K14" s="210">
        <f>100-19.88-23+10.4</f>
        <v>67.52000000000001</v>
      </c>
      <c r="L14" s="217"/>
    </row>
    <row r="15" spans="1:12" ht="30" x14ac:dyDescent="0.25">
      <c r="A15" s="213">
        <f>A14+1</f>
        <v>2</v>
      </c>
      <c r="B15" s="214" t="s">
        <v>13</v>
      </c>
      <c r="C15" s="215" t="s">
        <v>12</v>
      </c>
      <c r="D15" s="215"/>
      <c r="E15" s="210">
        <v>15</v>
      </c>
      <c r="F15" s="216"/>
      <c r="G15" s="213">
        <f>G14+1</f>
        <v>2</v>
      </c>
      <c r="H15" s="214" t="s">
        <v>13</v>
      </c>
      <c r="I15" s="215" t="s">
        <v>12</v>
      </c>
      <c r="J15" s="214"/>
      <c r="K15" s="210">
        <v>15</v>
      </c>
      <c r="L15" s="217"/>
    </row>
    <row r="16" spans="1:12" ht="30" x14ac:dyDescent="0.25">
      <c r="A16" s="213">
        <f>A15+1</f>
        <v>3</v>
      </c>
      <c r="B16" s="214" t="s">
        <v>35</v>
      </c>
      <c r="C16" s="215" t="s">
        <v>8</v>
      </c>
      <c r="D16" s="215"/>
      <c r="E16" s="210">
        <v>10.08</v>
      </c>
      <c r="F16" s="216"/>
      <c r="G16" s="213">
        <f>G15+1</f>
        <v>3</v>
      </c>
      <c r="H16" s="214" t="s">
        <v>35</v>
      </c>
      <c r="I16" s="215" t="s">
        <v>8</v>
      </c>
      <c r="J16" s="214"/>
      <c r="K16" s="210">
        <v>10.08</v>
      </c>
      <c r="L16" s="217"/>
    </row>
    <row r="17" spans="1:12" ht="30" x14ac:dyDescent="0.25">
      <c r="A17" s="213">
        <v>4</v>
      </c>
      <c r="B17" s="214" t="s">
        <v>84</v>
      </c>
      <c r="C17" s="215" t="s">
        <v>81</v>
      </c>
      <c r="D17" s="215"/>
      <c r="E17" s="210"/>
      <c r="F17" s="218"/>
      <c r="G17" s="213">
        <v>4</v>
      </c>
      <c r="H17" s="214" t="s">
        <v>84</v>
      </c>
      <c r="I17" s="215" t="s">
        <v>81</v>
      </c>
      <c r="J17" s="214"/>
      <c r="K17" s="210"/>
      <c r="L17" s="217"/>
    </row>
    <row r="18" spans="1:12" ht="26.25" customHeight="1" x14ac:dyDescent="0.25">
      <c r="A18" s="213"/>
      <c r="B18" s="214"/>
      <c r="C18" s="215"/>
      <c r="D18" s="215"/>
      <c r="E18" s="210"/>
      <c r="F18" s="218"/>
      <c r="G18" s="213"/>
      <c r="H18" s="214"/>
      <c r="I18" s="215"/>
      <c r="J18" s="214"/>
      <c r="K18" s="210"/>
      <c r="L18" s="217"/>
    </row>
    <row r="19" spans="1:12" ht="30" x14ac:dyDescent="0.25">
      <c r="A19" s="213"/>
      <c r="B19" s="214"/>
      <c r="C19" s="215"/>
      <c r="D19" s="215"/>
      <c r="E19" s="210"/>
      <c r="F19" s="219"/>
      <c r="G19" s="213"/>
      <c r="H19" s="214"/>
      <c r="I19" s="215"/>
      <c r="J19" s="214"/>
      <c r="K19" s="210"/>
      <c r="L19" s="219"/>
    </row>
    <row r="20" spans="1:12" ht="30" x14ac:dyDescent="0.25">
      <c r="A20" s="213"/>
      <c r="B20" s="214"/>
      <c r="C20" s="215"/>
      <c r="D20" s="215"/>
      <c r="E20" s="210"/>
      <c r="F20" s="219"/>
      <c r="G20" s="213"/>
      <c r="H20" s="214"/>
      <c r="I20" s="215"/>
      <c r="J20" s="215"/>
      <c r="K20" s="210"/>
      <c r="L20" s="219"/>
    </row>
    <row r="21" spans="1:12" ht="30.75" x14ac:dyDescent="0.25">
      <c r="A21" s="207"/>
      <c r="B21" s="220" t="s">
        <v>0</v>
      </c>
      <c r="C21" s="221"/>
      <c r="D21" s="222"/>
      <c r="E21" s="210">
        <v>115.2</v>
      </c>
      <c r="F21" s="223">
        <f>107.27-E21</f>
        <v>-7.9300000000000068</v>
      </c>
      <c r="G21" s="212"/>
      <c r="H21" s="220" t="s">
        <v>0</v>
      </c>
      <c r="I21" s="221"/>
      <c r="J21" s="222"/>
      <c r="K21" s="210">
        <v>138.6</v>
      </c>
      <c r="L21" s="223">
        <f>129.4-K21</f>
        <v>-9.1999999999999886</v>
      </c>
    </row>
    <row r="22" spans="1:12" ht="30.75" x14ac:dyDescent="0.25">
      <c r="A22" s="207"/>
      <c r="B22" s="224"/>
      <c r="C22" s="225"/>
      <c r="D22" s="224"/>
      <c r="E22" s="210"/>
      <c r="F22" s="217"/>
      <c r="G22" s="226"/>
      <c r="H22" s="224"/>
      <c r="I22" s="225"/>
      <c r="J22" s="227"/>
      <c r="K22" s="210"/>
      <c r="L22" s="228"/>
    </row>
    <row r="23" spans="1:12" ht="30.75" x14ac:dyDescent="0.25">
      <c r="A23" s="207"/>
      <c r="B23" s="229" t="s">
        <v>147</v>
      </c>
      <c r="C23" s="230" t="s">
        <v>159</v>
      </c>
      <c r="D23" s="209" t="s">
        <v>145</v>
      </c>
      <c r="E23" s="210"/>
      <c r="F23" s="219"/>
      <c r="G23" s="207"/>
      <c r="H23" s="229" t="s">
        <v>147</v>
      </c>
      <c r="I23" s="230" t="s">
        <v>164</v>
      </c>
      <c r="J23" s="231" t="str">
        <f>D23</f>
        <v>чел</v>
      </c>
      <c r="K23" s="210"/>
      <c r="L23" s="219"/>
    </row>
    <row r="24" spans="1:12" ht="62.25" customHeight="1" x14ac:dyDescent="0.25">
      <c r="A24" s="213">
        <f>A23+1</f>
        <v>1</v>
      </c>
      <c r="B24" s="288" t="s">
        <v>135</v>
      </c>
      <c r="C24" s="215" t="s">
        <v>37</v>
      </c>
      <c r="D24" s="215"/>
      <c r="E24" s="210">
        <v>20</v>
      </c>
      <c r="F24" s="232"/>
      <c r="G24" s="213">
        <f>G23+1</f>
        <v>1</v>
      </c>
      <c r="H24" s="288" t="s">
        <v>135</v>
      </c>
      <c r="I24" s="215" t="s">
        <v>37</v>
      </c>
      <c r="J24" s="214"/>
      <c r="K24" s="210">
        <v>20</v>
      </c>
      <c r="L24" s="232"/>
    </row>
    <row r="25" spans="1:12" ht="30" x14ac:dyDescent="0.25">
      <c r="A25" s="213">
        <f>A24+1</f>
        <v>2</v>
      </c>
      <c r="B25" s="214" t="s">
        <v>136</v>
      </c>
      <c r="C25" s="215" t="s">
        <v>36</v>
      </c>
      <c r="D25" s="215"/>
      <c r="E25" s="210">
        <v>80</v>
      </c>
      <c r="F25" s="232"/>
      <c r="G25" s="213">
        <f>G24+1</f>
        <v>2</v>
      </c>
      <c r="H25" s="214" t="s">
        <v>136</v>
      </c>
      <c r="I25" s="215" t="s">
        <v>36</v>
      </c>
      <c r="J25" s="214"/>
      <c r="K25" s="210">
        <v>80</v>
      </c>
      <c r="L25" s="232"/>
    </row>
    <row r="26" spans="1:12" ht="30" x14ac:dyDescent="0.25">
      <c r="A26" s="213">
        <f>A25+1</f>
        <v>3</v>
      </c>
      <c r="B26" s="214" t="s">
        <v>137</v>
      </c>
      <c r="C26" s="215" t="s">
        <v>89</v>
      </c>
      <c r="D26" s="215"/>
      <c r="E26" s="210">
        <f>69.6-7.5</f>
        <v>62.099999999999994</v>
      </c>
      <c r="F26" s="218"/>
      <c r="G26" s="213">
        <f>G25+1</f>
        <v>3</v>
      </c>
      <c r="H26" s="214" t="s">
        <v>137</v>
      </c>
      <c r="I26" s="215" t="s">
        <v>90</v>
      </c>
      <c r="J26" s="214"/>
      <c r="K26" s="210">
        <f>62.1*1.2-2.82</f>
        <v>71.7</v>
      </c>
      <c r="L26" s="218"/>
    </row>
    <row r="27" spans="1:12" ht="30.75" x14ac:dyDescent="0.25">
      <c r="A27" s="213">
        <f>A26+1</f>
        <v>4</v>
      </c>
      <c r="B27" s="214" t="s">
        <v>93</v>
      </c>
      <c r="C27" s="215" t="s">
        <v>31</v>
      </c>
      <c r="D27" s="215"/>
      <c r="E27" s="210">
        <v>15</v>
      </c>
      <c r="F27" s="228"/>
      <c r="G27" s="213">
        <f>G26+1</f>
        <v>4</v>
      </c>
      <c r="H27" s="214" t="s">
        <v>93</v>
      </c>
      <c r="I27" s="215" t="s">
        <v>32</v>
      </c>
      <c r="J27" s="214"/>
      <c r="K27" s="210">
        <v>18</v>
      </c>
      <c r="L27" s="218"/>
    </row>
    <row r="28" spans="1:12" ht="30.75" x14ac:dyDescent="0.25">
      <c r="A28" s="213">
        <f>A27+1</f>
        <v>5</v>
      </c>
      <c r="B28" s="214" t="s">
        <v>138</v>
      </c>
      <c r="C28" s="215" t="s">
        <v>8</v>
      </c>
      <c r="D28" s="215"/>
      <c r="E28" s="210">
        <v>20</v>
      </c>
      <c r="F28" s="228"/>
      <c r="G28" s="213">
        <f>G27+1</f>
        <v>5</v>
      </c>
      <c r="H28" s="214" t="s">
        <v>138</v>
      </c>
      <c r="I28" s="215" t="s">
        <v>8</v>
      </c>
      <c r="J28" s="214"/>
      <c r="K28" s="210">
        <v>20</v>
      </c>
      <c r="L28" s="218"/>
    </row>
    <row r="29" spans="1:12" ht="33" customHeight="1" x14ac:dyDescent="0.25">
      <c r="A29" s="213">
        <v>6</v>
      </c>
      <c r="B29" s="214" t="s">
        <v>6</v>
      </c>
      <c r="C29" s="215" t="s">
        <v>3</v>
      </c>
      <c r="D29" s="215"/>
      <c r="E29" s="210">
        <v>7.5</v>
      </c>
      <c r="F29" s="228"/>
      <c r="G29" s="213">
        <v>6</v>
      </c>
      <c r="H29" s="214" t="s">
        <v>6</v>
      </c>
      <c r="I29" s="215" t="s">
        <v>3</v>
      </c>
      <c r="J29" s="214"/>
      <c r="K29" s="210">
        <v>7.5</v>
      </c>
      <c r="L29" s="218"/>
    </row>
    <row r="30" spans="1:12" ht="28.5" customHeight="1" x14ac:dyDescent="0.25">
      <c r="A30" s="213">
        <v>7</v>
      </c>
      <c r="B30" s="214" t="s">
        <v>4</v>
      </c>
      <c r="C30" s="215" t="s">
        <v>3</v>
      </c>
      <c r="D30" s="215"/>
      <c r="E30" s="210"/>
      <c r="F30" s="228"/>
      <c r="G30" s="213">
        <v>7</v>
      </c>
      <c r="H30" s="214" t="s">
        <v>4</v>
      </c>
      <c r="I30" s="215" t="s">
        <v>3</v>
      </c>
      <c r="J30" s="214"/>
      <c r="K30" s="210"/>
      <c r="L30" s="218"/>
    </row>
    <row r="31" spans="1:12" ht="30.75" x14ac:dyDescent="0.25">
      <c r="A31" s="207"/>
      <c r="B31" s="214"/>
      <c r="C31" s="215"/>
      <c r="D31" s="215"/>
      <c r="E31" s="210"/>
      <c r="F31" s="228"/>
      <c r="G31" s="212"/>
      <c r="H31" s="214"/>
      <c r="I31" s="215"/>
      <c r="J31" s="214"/>
      <c r="K31" s="210"/>
      <c r="L31" s="228"/>
    </row>
    <row r="32" spans="1:12" ht="30.75" x14ac:dyDescent="0.25">
      <c r="A32" s="207"/>
      <c r="B32" s="233"/>
      <c r="C32" s="234"/>
      <c r="D32" s="222"/>
      <c r="E32" s="210"/>
      <c r="F32" s="228"/>
      <c r="G32" s="207"/>
      <c r="H32" s="233"/>
      <c r="I32" s="234"/>
      <c r="J32" s="221"/>
      <c r="K32" s="210"/>
      <c r="L32" s="228"/>
    </row>
    <row r="33" spans="1:12" ht="30.75" x14ac:dyDescent="0.25">
      <c r="A33" s="207"/>
      <c r="B33" s="235" t="s">
        <v>0</v>
      </c>
      <c r="C33" s="221"/>
      <c r="D33" s="222"/>
      <c r="E33" s="210">
        <v>210.6</v>
      </c>
      <c r="F33" s="223">
        <f>197.87-E33</f>
        <v>-12.72999999999999</v>
      </c>
      <c r="G33" s="207"/>
      <c r="H33" s="235" t="s">
        <v>0</v>
      </c>
      <c r="I33" s="221"/>
      <c r="J33" s="221"/>
      <c r="K33" s="210">
        <v>223.2</v>
      </c>
      <c r="L33" s="223">
        <f>209.73-K33</f>
        <v>-13.469999999999999</v>
      </c>
    </row>
    <row r="34" spans="1:12" ht="30.75" x14ac:dyDescent="0.25">
      <c r="A34" s="207"/>
      <c r="B34" s="227"/>
      <c r="C34" s="236"/>
      <c r="D34" s="222"/>
      <c r="E34" s="210"/>
      <c r="F34" s="228"/>
      <c r="G34" s="207"/>
      <c r="H34" s="227"/>
      <c r="I34" s="236"/>
      <c r="J34" s="221"/>
      <c r="K34" s="210"/>
      <c r="L34" s="228"/>
    </row>
    <row r="35" spans="1:12" ht="30.75" x14ac:dyDescent="0.25">
      <c r="A35" s="207"/>
      <c r="B35" s="229"/>
      <c r="C35" s="237"/>
      <c r="D35" s="209"/>
      <c r="E35" s="210"/>
      <c r="F35" s="219"/>
      <c r="G35" s="207"/>
      <c r="H35" s="229"/>
      <c r="I35" s="237"/>
      <c r="J35" s="231"/>
      <c r="K35" s="210"/>
      <c r="L35" s="219"/>
    </row>
    <row r="36" spans="1:12" ht="30.75" x14ac:dyDescent="0.25">
      <c r="A36" s="207"/>
      <c r="B36" s="229" t="s">
        <v>152</v>
      </c>
      <c r="C36" s="208">
        <v>31</v>
      </c>
      <c r="D36" s="209" t="s">
        <v>145</v>
      </c>
      <c r="E36" s="210"/>
      <c r="F36" s="238"/>
      <c r="G36" s="207"/>
      <c r="H36" s="229" t="s">
        <v>152</v>
      </c>
      <c r="I36" s="208">
        <v>9</v>
      </c>
      <c r="J36" s="231" t="str">
        <f>D36</f>
        <v>чел</v>
      </c>
      <c r="K36" s="210"/>
      <c r="L36" s="238"/>
    </row>
    <row r="37" spans="1:12" ht="30" x14ac:dyDescent="0.25">
      <c r="A37" s="213">
        <v>1</v>
      </c>
      <c r="B37" s="214" t="s">
        <v>162</v>
      </c>
      <c r="C37" s="215" t="s">
        <v>8</v>
      </c>
      <c r="D37" s="214"/>
      <c r="E37" s="210">
        <f>82.5-20</f>
        <v>62.5</v>
      </c>
      <c r="F37" s="218"/>
      <c r="G37" s="213">
        <f>A37</f>
        <v>1</v>
      </c>
      <c r="H37" s="214" t="s">
        <v>39</v>
      </c>
      <c r="I37" s="215" t="s">
        <v>8</v>
      </c>
      <c r="J37" s="215"/>
      <c r="K37" s="210">
        <f>82.5-20</f>
        <v>62.5</v>
      </c>
      <c r="L37" s="217"/>
    </row>
    <row r="38" spans="1:12" ht="30" x14ac:dyDescent="0.25">
      <c r="A38" s="213">
        <f>A37+1</f>
        <v>2</v>
      </c>
      <c r="B38" s="214" t="s">
        <v>103</v>
      </c>
      <c r="C38" s="215" t="s">
        <v>33</v>
      </c>
      <c r="D38" s="214"/>
      <c r="E38" s="210">
        <v>34.700000000000003</v>
      </c>
      <c r="F38" s="218"/>
      <c r="G38" s="213">
        <f>A38</f>
        <v>2</v>
      </c>
      <c r="H38" s="214" t="s">
        <v>103</v>
      </c>
      <c r="I38" s="215" t="s">
        <v>34</v>
      </c>
      <c r="J38" s="215"/>
      <c r="K38" s="210">
        <v>43.7</v>
      </c>
      <c r="L38" s="217"/>
    </row>
    <row r="39" spans="1:12" ht="30" x14ac:dyDescent="0.25">
      <c r="A39" s="213"/>
      <c r="B39" s="214"/>
      <c r="C39" s="215"/>
      <c r="D39" s="214"/>
      <c r="E39" s="210"/>
      <c r="F39" s="218"/>
      <c r="G39" s="213"/>
      <c r="H39" s="214"/>
      <c r="I39" s="239"/>
      <c r="J39" s="215"/>
      <c r="K39" s="210"/>
      <c r="L39" s="217"/>
    </row>
    <row r="40" spans="1:12" ht="30.75" x14ac:dyDescent="0.25">
      <c r="A40" s="240"/>
      <c r="B40" s="214"/>
      <c r="C40" s="215"/>
      <c r="D40" s="215"/>
      <c r="E40" s="210"/>
      <c r="F40" s="241"/>
      <c r="G40" s="207"/>
      <c r="H40" s="214"/>
      <c r="I40" s="215"/>
      <c r="J40" s="215"/>
      <c r="K40" s="210"/>
      <c r="L40" s="219"/>
    </row>
    <row r="41" spans="1:12" ht="30.75" x14ac:dyDescent="0.25">
      <c r="A41" s="207"/>
      <c r="B41" s="220" t="s">
        <v>0</v>
      </c>
      <c r="C41" s="221"/>
      <c r="D41" s="222"/>
      <c r="E41" s="210">
        <v>97.2</v>
      </c>
      <c r="F41" s="223">
        <f>89.6-E41</f>
        <v>-7.6000000000000085</v>
      </c>
      <c r="G41" s="207"/>
      <c r="H41" s="235" t="str">
        <f>B41</f>
        <v>Итого:</v>
      </c>
      <c r="I41" s="221"/>
      <c r="J41" s="221"/>
      <c r="K41" s="210">
        <v>106.2</v>
      </c>
      <c r="L41" s="223">
        <f>98.6-K41</f>
        <v>-7.6000000000000085</v>
      </c>
    </row>
    <row r="42" spans="1:12" ht="27.75" x14ac:dyDescent="0.25">
      <c r="A42" s="240"/>
      <c r="B42" s="242"/>
      <c r="C42" s="242"/>
      <c r="D42" s="242"/>
      <c r="E42" s="243"/>
      <c r="F42" s="241"/>
      <c r="G42" s="244"/>
      <c r="H42" s="242"/>
      <c r="I42" s="242"/>
      <c r="J42" s="242"/>
      <c r="K42" s="245"/>
      <c r="L42" s="241"/>
    </row>
    <row r="43" spans="1:12" ht="26.25" x14ac:dyDescent="0.25">
      <c r="A43" s="246"/>
      <c r="B43" s="247"/>
      <c r="C43" s="248"/>
      <c r="D43" s="247"/>
      <c r="E43" s="249"/>
      <c r="F43" s="250"/>
      <c r="G43" s="251"/>
      <c r="H43" s="247"/>
      <c r="I43" s="248"/>
      <c r="J43" s="247"/>
      <c r="K43" s="249"/>
      <c r="L43" s="250"/>
    </row>
    <row r="44" spans="1:12" ht="30.75" x14ac:dyDescent="0.25">
      <c r="A44" s="207"/>
      <c r="B44" s="252" t="s">
        <v>71</v>
      </c>
      <c r="C44" s="222"/>
      <c r="D44" s="253" t="s">
        <v>72</v>
      </c>
      <c r="E44" s="254"/>
      <c r="F44" s="211"/>
      <c r="G44" s="212"/>
      <c r="H44" s="252" t="str">
        <f>B44</f>
        <v>Бухгалтер</v>
      </c>
      <c r="I44" s="222"/>
      <c r="J44" s="253" t="str">
        <f>D44</f>
        <v>Гудым Д.С.</v>
      </c>
      <c r="K44" s="254"/>
      <c r="L44" s="211"/>
    </row>
    <row r="45" spans="1:12" ht="31.5" thickBot="1" x14ac:dyDescent="0.3">
      <c r="A45" s="255"/>
      <c r="B45" s="256" t="s">
        <v>154</v>
      </c>
      <c r="C45" s="257"/>
      <c r="D45" s="258" t="s">
        <v>74</v>
      </c>
      <c r="E45" s="259"/>
      <c r="F45" s="260"/>
      <c r="G45" s="255"/>
      <c r="H45" s="256" t="str">
        <f>B45</f>
        <v>Зав.производством</v>
      </c>
      <c r="I45" s="257"/>
      <c r="J45" s="261" t="str">
        <f>D45</f>
        <v>Катанцева Я.В.</v>
      </c>
      <c r="K45" s="259"/>
      <c r="L45" s="260"/>
    </row>
    <row r="46" spans="1:12" ht="22.5" x14ac:dyDescent="0.25">
      <c r="A46" s="262"/>
      <c r="B46" s="263"/>
      <c r="C46" s="263"/>
      <c r="D46" s="263"/>
      <c r="E46" s="262"/>
      <c r="F46" s="262"/>
      <c r="G46" s="263"/>
      <c r="H46" s="263"/>
      <c r="I46" s="263"/>
      <c r="J46" s="263"/>
      <c r="K46" s="262"/>
      <c r="L46" s="262"/>
    </row>
    <row r="47" spans="1:12" ht="22.5" x14ac:dyDescent="0.25">
      <c r="A47" s="262"/>
      <c r="B47" s="263"/>
      <c r="C47" s="263"/>
      <c r="D47" s="263"/>
      <c r="E47" s="262"/>
      <c r="F47" s="262"/>
      <c r="G47" s="263"/>
      <c r="H47" s="263"/>
      <c r="I47" s="263"/>
      <c r="J47" s="263"/>
      <c r="K47" s="262"/>
      <c r="L47" s="262"/>
    </row>
    <row r="48" spans="1:12" ht="22.5" x14ac:dyDescent="0.25">
      <c r="A48" s="262"/>
      <c r="B48" s="263"/>
      <c r="C48" s="263"/>
      <c r="D48" s="263"/>
      <c r="E48" s="262"/>
      <c r="F48" s="262"/>
      <c r="G48" s="263"/>
      <c r="H48" s="263"/>
      <c r="I48" s="263"/>
      <c r="J48" s="263"/>
      <c r="K48" s="262"/>
      <c r="L48" s="262"/>
    </row>
    <row r="49" spans="1:12" ht="30" x14ac:dyDescent="0.25">
      <c r="A49" s="262"/>
      <c r="B49" s="214"/>
      <c r="C49" s="215"/>
      <c r="D49" s="215"/>
      <c r="E49" s="215"/>
      <c r="F49" s="262"/>
      <c r="G49" s="263"/>
      <c r="H49" s="263"/>
      <c r="I49" s="263"/>
      <c r="J49" s="263"/>
      <c r="K49" s="262"/>
      <c r="L49" s="262"/>
    </row>
  </sheetData>
  <mergeCells count="22">
    <mergeCell ref="C9:E9"/>
    <mergeCell ref="I9:K9"/>
    <mergeCell ref="A6:B6"/>
    <mergeCell ref="C6:F6"/>
    <mergeCell ref="G6:H6"/>
    <mergeCell ref="I6:L6"/>
    <mergeCell ref="C7:F7"/>
    <mergeCell ref="I7:L7"/>
    <mergeCell ref="A3:B3"/>
    <mergeCell ref="E3:F3"/>
    <mergeCell ref="G3:H3"/>
    <mergeCell ref="K3:L3"/>
    <mergeCell ref="A4:B4"/>
    <mergeCell ref="E4:F4"/>
    <mergeCell ref="G4:H4"/>
    <mergeCell ref="K4:L4"/>
    <mergeCell ref="A1:B1"/>
    <mergeCell ref="E1:F2"/>
    <mergeCell ref="G1:H1"/>
    <mergeCell ref="K1:L2"/>
    <mergeCell ref="A2:B2"/>
    <mergeCell ref="G2:H2"/>
  </mergeCells>
  <pageMargins left="0.7" right="0.7" top="0.75" bottom="0.75" header="0.3" footer="0.3"/>
  <pageSetup paperSize="9" scale="35" orientation="portrait" r:id="rId1"/>
  <colBreaks count="1" manualBreakCount="1">
    <brk id="6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R37"/>
  <sheetViews>
    <sheetView view="pageBreakPreview" topLeftCell="A7" zoomScale="40" zoomScaleNormal="60" zoomScaleSheetLayoutView="40" workbookViewId="0">
      <selection activeCell="M31" sqref="M30:N31"/>
    </sheetView>
  </sheetViews>
  <sheetFormatPr defaultRowHeight="18.75" x14ac:dyDescent="0.3"/>
  <cols>
    <col min="1" max="2" width="25.7109375" style="80" customWidth="1"/>
    <col min="3" max="3" width="15.7109375" style="80" customWidth="1"/>
    <col min="4" max="4" width="83.28515625" style="80" customWidth="1"/>
    <col min="5" max="5" width="25.7109375" style="80" customWidth="1"/>
    <col min="6" max="6" width="27.42578125" style="80" customWidth="1"/>
    <col min="7" max="7" width="22.7109375" style="80" customWidth="1"/>
    <col min="8" max="8" width="24.5703125" style="80" customWidth="1"/>
    <col min="9" max="9" width="36.5703125" style="80" customWidth="1"/>
    <col min="10" max="11" width="25.7109375" style="80" customWidth="1"/>
    <col min="12" max="12" width="15.7109375" style="80" customWidth="1"/>
    <col min="13" max="13" width="82.28515625" style="80" customWidth="1"/>
    <col min="14" max="14" width="25.7109375" style="80" customWidth="1"/>
    <col min="15" max="15" width="25.5703125" style="80" customWidth="1"/>
    <col min="16" max="16" width="26.42578125" style="80" customWidth="1"/>
    <col min="17" max="17" width="23.42578125" style="80" customWidth="1"/>
    <col min="18" max="18" width="40.42578125" style="80" customWidth="1"/>
  </cols>
  <sheetData>
    <row r="1" spans="1:18" s="4" customFormat="1" ht="30" customHeight="1" x14ac:dyDescent="0.55000000000000004">
      <c r="A1" s="1" t="s">
        <v>40</v>
      </c>
      <c r="B1" s="1"/>
      <c r="C1" s="2"/>
      <c r="D1" s="2"/>
      <c r="E1" s="3"/>
      <c r="F1" s="320" t="s">
        <v>41</v>
      </c>
      <c r="G1" s="320"/>
      <c r="H1" s="320"/>
      <c r="I1" s="320"/>
      <c r="J1" s="1" t="s">
        <v>40</v>
      </c>
      <c r="K1" s="1"/>
      <c r="L1" s="2"/>
      <c r="M1" s="2"/>
      <c r="N1" s="3"/>
      <c r="O1" s="320" t="s">
        <v>41</v>
      </c>
      <c r="P1" s="320"/>
      <c r="Q1" s="320"/>
      <c r="R1" s="320"/>
    </row>
    <row r="2" spans="1:18" s="4" customFormat="1" ht="42" customHeight="1" x14ac:dyDescent="0.55000000000000004">
      <c r="A2" s="1" t="s">
        <v>42</v>
      </c>
      <c r="B2" s="1"/>
      <c r="C2" s="5"/>
      <c r="D2" s="5"/>
      <c r="E2" s="3"/>
      <c r="F2" s="320"/>
      <c r="G2" s="320"/>
      <c r="H2" s="320"/>
      <c r="I2" s="320"/>
      <c r="J2" s="1" t="s">
        <v>42</v>
      </c>
      <c r="K2" s="1"/>
      <c r="L2" s="5"/>
      <c r="M2" s="5"/>
      <c r="N2" s="3"/>
      <c r="O2" s="320"/>
      <c r="P2" s="320"/>
      <c r="Q2" s="320"/>
      <c r="R2" s="320"/>
    </row>
    <row r="3" spans="1:18" s="4" customFormat="1" ht="42" customHeight="1" x14ac:dyDescent="0.55000000000000004">
      <c r="A3" s="2" t="s">
        <v>44</v>
      </c>
      <c r="B3" s="2"/>
      <c r="C3" s="2"/>
      <c r="D3" s="2"/>
      <c r="E3" s="3"/>
      <c r="F3" s="319" t="s">
        <v>43</v>
      </c>
      <c r="G3" s="319"/>
      <c r="H3" s="319"/>
      <c r="I3" s="319"/>
      <c r="J3" s="2" t="s">
        <v>44</v>
      </c>
      <c r="K3" s="2"/>
      <c r="L3" s="2"/>
      <c r="M3" s="2"/>
      <c r="N3" s="3"/>
      <c r="O3" s="319" t="s">
        <v>43</v>
      </c>
      <c r="P3" s="319"/>
      <c r="Q3" s="319"/>
      <c r="R3" s="319"/>
    </row>
    <row r="4" spans="1:18" s="4" customFormat="1" ht="30" customHeight="1" x14ac:dyDescent="0.55000000000000004">
      <c r="A4" s="2" t="s">
        <v>45</v>
      </c>
      <c r="B4" s="2"/>
      <c r="C4" s="2"/>
      <c r="D4" s="2"/>
      <c r="E4" s="3"/>
      <c r="F4" s="2" t="s">
        <v>45</v>
      </c>
      <c r="G4" s="2"/>
      <c r="H4" s="6"/>
      <c r="I4" s="6"/>
      <c r="J4" s="2" t="s">
        <v>45</v>
      </c>
      <c r="K4" s="2"/>
      <c r="L4" s="2"/>
      <c r="M4" s="2"/>
      <c r="N4" s="3"/>
      <c r="O4" s="2" t="s">
        <v>45</v>
      </c>
      <c r="P4" s="2"/>
      <c r="Q4" s="6"/>
      <c r="R4" s="6"/>
    </row>
    <row r="5" spans="1:18" s="4" customFormat="1" ht="30" customHeight="1" x14ac:dyDescent="0.55000000000000004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s="4" customFormat="1" ht="30" customHeight="1" x14ac:dyDescent="0.55000000000000004">
      <c r="A6" s="323" t="s">
        <v>46</v>
      </c>
      <c r="B6" s="323"/>
      <c r="C6" s="322" t="s">
        <v>47</v>
      </c>
      <c r="D6" s="322"/>
      <c r="E6" s="322"/>
      <c r="F6" s="322"/>
      <c r="G6" s="322"/>
      <c r="H6" s="322"/>
      <c r="I6" s="322"/>
      <c r="J6" s="323" t="s">
        <v>46</v>
      </c>
      <c r="K6" s="323"/>
      <c r="L6" s="322" t="s">
        <v>47</v>
      </c>
      <c r="M6" s="322"/>
      <c r="N6" s="322"/>
      <c r="O6" s="322"/>
      <c r="P6" s="322"/>
      <c r="Q6" s="322"/>
      <c r="R6" s="322"/>
    </row>
    <row r="7" spans="1:18" s="4" customFormat="1" ht="30" customHeight="1" x14ac:dyDescent="0.55000000000000004">
      <c r="A7" s="8"/>
      <c r="B7" s="8"/>
      <c r="C7" s="322" t="s">
        <v>48</v>
      </c>
      <c r="D7" s="322"/>
      <c r="E7" s="322"/>
      <c r="F7" s="322"/>
      <c r="G7" s="322"/>
      <c r="H7" s="322"/>
      <c r="I7" s="322"/>
      <c r="J7" s="8"/>
      <c r="K7" s="8"/>
      <c r="L7" s="322" t="s">
        <v>48</v>
      </c>
      <c r="M7" s="322"/>
      <c r="N7" s="322"/>
      <c r="O7" s="322"/>
      <c r="P7" s="322"/>
      <c r="Q7" s="322"/>
      <c r="R7" s="322"/>
    </row>
    <row r="8" spans="1:18" s="4" customFormat="1" ht="30" customHeight="1" x14ac:dyDescent="0.55000000000000004">
      <c r="A8" s="8"/>
      <c r="B8" s="8"/>
      <c r="C8" s="9"/>
      <c r="D8" s="9"/>
      <c r="E8" s="9"/>
      <c r="F8" s="9"/>
      <c r="G8" s="9"/>
      <c r="H8" s="9"/>
      <c r="I8" s="9"/>
      <c r="J8" s="8"/>
      <c r="K8" s="8"/>
      <c r="L8" s="9"/>
      <c r="M8" s="9"/>
      <c r="N8" s="9"/>
      <c r="O8" s="9"/>
      <c r="P8" s="9"/>
      <c r="Q8" s="9"/>
      <c r="R8" s="9"/>
    </row>
    <row r="9" spans="1:18" s="4" customFormat="1" ht="30" customHeight="1" x14ac:dyDescent="0.55000000000000004">
      <c r="A9" s="10" t="s">
        <v>49</v>
      </c>
      <c r="B9" s="10"/>
      <c r="C9" s="10"/>
      <c r="D9" s="10"/>
      <c r="E9" s="81" t="s">
        <v>50</v>
      </c>
      <c r="F9" s="10"/>
      <c r="G9" s="10"/>
      <c r="H9" s="10"/>
      <c r="I9" s="10"/>
      <c r="J9" s="10" t="s">
        <v>49</v>
      </c>
      <c r="K9" s="10"/>
      <c r="L9" s="10"/>
      <c r="M9" s="10"/>
      <c r="N9" s="81" t="s">
        <v>50</v>
      </c>
      <c r="O9" s="10"/>
      <c r="P9" s="10"/>
      <c r="Q9" s="10"/>
      <c r="R9" s="10"/>
    </row>
    <row r="10" spans="1:18" s="4" customFormat="1" ht="30" customHeight="1" thickBot="1" x14ac:dyDescent="0.6">
      <c r="A10" s="11"/>
      <c r="B10" s="11"/>
      <c r="C10" s="11"/>
      <c r="D10" s="11"/>
      <c r="E10" s="11"/>
      <c r="F10" s="11"/>
      <c r="G10" s="11"/>
      <c r="H10" s="7"/>
      <c r="I10" s="7"/>
      <c r="J10" s="11"/>
      <c r="K10" s="11"/>
      <c r="L10" s="11"/>
      <c r="M10" s="11"/>
      <c r="N10" s="11"/>
      <c r="O10" s="11"/>
      <c r="P10" s="11"/>
      <c r="Q10" s="7"/>
      <c r="R10" s="7"/>
    </row>
    <row r="11" spans="1:18" s="15" customFormat="1" ht="30" customHeight="1" thickBot="1" x14ac:dyDescent="0.5">
      <c r="A11" s="12" t="s">
        <v>28</v>
      </c>
      <c r="B11" s="321" t="s">
        <v>27</v>
      </c>
      <c r="C11" s="321"/>
      <c r="D11" s="321"/>
      <c r="E11" s="321"/>
      <c r="F11" s="13" t="s">
        <v>26</v>
      </c>
      <c r="G11" s="13" t="s">
        <v>25</v>
      </c>
      <c r="H11" s="13" t="s">
        <v>24</v>
      </c>
      <c r="I11" s="14">
        <v>44663</v>
      </c>
      <c r="J11" s="12" t="s">
        <v>28</v>
      </c>
      <c r="K11" s="321" t="s">
        <v>27</v>
      </c>
      <c r="L11" s="321"/>
      <c r="M11" s="321"/>
      <c r="N11" s="321"/>
      <c r="O11" s="13" t="s">
        <v>26</v>
      </c>
      <c r="P11" s="13" t="s">
        <v>29</v>
      </c>
      <c r="Q11" s="13" t="s">
        <v>24</v>
      </c>
      <c r="R11" s="14">
        <f>I11</f>
        <v>44663</v>
      </c>
    </row>
    <row r="12" spans="1:18" s="19" customFormat="1" ht="35.25" customHeight="1" thickBot="1" x14ac:dyDescent="0.3">
      <c r="A12" s="16" t="s">
        <v>23</v>
      </c>
      <c r="B12" s="17" t="s">
        <v>22</v>
      </c>
      <c r="C12" s="17" t="s">
        <v>51</v>
      </c>
      <c r="D12" s="17" t="s">
        <v>21</v>
      </c>
      <c r="E12" s="17" t="s">
        <v>20</v>
      </c>
      <c r="F12" s="17" t="s">
        <v>19</v>
      </c>
      <c r="G12" s="17" t="s">
        <v>18</v>
      </c>
      <c r="H12" s="17" t="s">
        <v>17</v>
      </c>
      <c r="I12" s="18" t="s">
        <v>16</v>
      </c>
      <c r="J12" s="16" t="s">
        <v>23</v>
      </c>
      <c r="K12" s="17" t="s">
        <v>22</v>
      </c>
      <c r="L12" s="17" t="s">
        <v>51</v>
      </c>
      <c r="M12" s="17" t="s">
        <v>21</v>
      </c>
      <c r="N12" s="17" t="s">
        <v>20</v>
      </c>
      <c r="O12" s="17" t="s">
        <v>19</v>
      </c>
      <c r="P12" s="17" t="s">
        <v>18</v>
      </c>
      <c r="Q12" s="17" t="s">
        <v>17</v>
      </c>
      <c r="R12" s="18" t="s">
        <v>16</v>
      </c>
    </row>
    <row r="13" spans="1:18" s="28" customFormat="1" ht="30" customHeight="1" x14ac:dyDescent="0.25">
      <c r="A13" s="20" t="s">
        <v>15</v>
      </c>
      <c r="B13" s="21" t="s">
        <v>38</v>
      </c>
      <c r="C13" s="22">
        <v>30</v>
      </c>
      <c r="D13" s="23" t="s">
        <v>52</v>
      </c>
      <c r="E13" s="24" t="s">
        <v>53</v>
      </c>
      <c r="F13" s="25">
        <v>5.7</v>
      </c>
      <c r="G13" s="25">
        <v>3.9</v>
      </c>
      <c r="H13" s="26">
        <v>38.4</v>
      </c>
      <c r="I13" s="27">
        <v>212</v>
      </c>
      <c r="J13" s="20" t="s">
        <v>15</v>
      </c>
      <c r="K13" s="21" t="s">
        <v>38</v>
      </c>
      <c r="L13" s="22">
        <v>77</v>
      </c>
      <c r="M13" s="23" t="s">
        <v>52</v>
      </c>
      <c r="N13" s="24" t="s">
        <v>54</v>
      </c>
      <c r="O13" s="25">
        <f>5.7/15*18</f>
        <v>6.84</v>
      </c>
      <c r="P13" s="25">
        <f>3.9/15*18</f>
        <v>4.68</v>
      </c>
      <c r="Q13" s="26">
        <f>38.4/15*18</f>
        <v>46.08</v>
      </c>
      <c r="R13" s="27">
        <f>212/15*18</f>
        <v>254.39999999999998</v>
      </c>
    </row>
    <row r="14" spans="1:18" s="28" customFormat="1" ht="33.75" customHeight="1" x14ac:dyDescent="0.4">
      <c r="A14" s="29"/>
      <c r="B14" s="30" t="s">
        <v>55</v>
      </c>
      <c r="C14" s="31">
        <f>C13</f>
        <v>30</v>
      </c>
      <c r="D14" s="32" t="s">
        <v>56</v>
      </c>
      <c r="E14" s="33" t="s">
        <v>57</v>
      </c>
      <c r="F14" s="34">
        <v>6.4</v>
      </c>
      <c r="G14" s="34">
        <v>5.8</v>
      </c>
      <c r="H14" s="35">
        <v>0.4</v>
      </c>
      <c r="I14" s="36">
        <v>79</v>
      </c>
      <c r="J14" s="29"/>
      <c r="K14" s="30" t="s">
        <v>55</v>
      </c>
      <c r="L14" s="31">
        <f>L13</f>
        <v>77</v>
      </c>
      <c r="M14" s="32" t="s">
        <v>56</v>
      </c>
      <c r="N14" s="33" t="s">
        <v>57</v>
      </c>
      <c r="O14" s="34">
        <v>6.4</v>
      </c>
      <c r="P14" s="34">
        <v>5.8</v>
      </c>
      <c r="Q14" s="35">
        <v>0.4</v>
      </c>
      <c r="R14" s="36">
        <v>79</v>
      </c>
    </row>
    <row r="15" spans="1:18" s="28" customFormat="1" ht="33.75" customHeight="1" x14ac:dyDescent="0.25">
      <c r="A15" s="29"/>
      <c r="B15" s="37" t="s">
        <v>14</v>
      </c>
      <c r="C15" s="38">
        <f t="shared" ref="C15" si="0">C14</f>
        <v>30</v>
      </c>
      <c r="D15" s="32" t="s">
        <v>13</v>
      </c>
      <c r="E15" s="33" t="s">
        <v>12</v>
      </c>
      <c r="F15" s="34">
        <v>2.2999999999999998</v>
      </c>
      <c r="G15" s="34">
        <v>0.9</v>
      </c>
      <c r="H15" s="35">
        <v>14.9</v>
      </c>
      <c r="I15" s="36">
        <v>77</v>
      </c>
      <c r="J15" s="39"/>
      <c r="K15" s="37" t="s">
        <v>14</v>
      </c>
      <c r="L15" s="38">
        <f t="shared" ref="L15" si="1">L14</f>
        <v>77</v>
      </c>
      <c r="M15" s="32" t="s">
        <v>13</v>
      </c>
      <c r="N15" s="33" t="s">
        <v>12</v>
      </c>
      <c r="O15" s="34">
        <v>2.2999999999999998</v>
      </c>
      <c r="P15" s="34">
        <v>0.9</v>
      </c>
      <c r="Q15" s="35">
        <v>14.9</v>
      </c>
      <c r="R15" s="36">
        <v>77</v>
      </c>
    </row>
    <row r="16" spans="1:18" s="28" customFormat="1" ht="33.75" customHeight="1" x14ac:dyDescent="0.25">
      <c r="A16" s="29"/>
      <c r="B16" s="37" t="s">
        <v>1</v>
      </c>
      <c r="C16" s="38">
        <f>C15</f>
        <v>30</v>
      </c>
      <c r="D16" s="32" t="s">
        <v>35</v>
      </c>
      <c r="E16" s="33" t="s">
        <v>8</v>
      </c>
      <c r="F16" s="34">
        <v>0</v>
      </c>
      <c r="G16" s="34">
        <v>0</v>
      </c>
      <c r="H16" s="35">
        <v>10</v>
      </c>
      <c r="I16" s="36">
        <v>40</v>
      </c>
      <c r="J16" s="39"/>
      <c r="K16" s="37" t="s">
        <v>1</v>
      </c>
      <c r="L16" s="38">
        <f>L15</f>
        <v>77</v>
      </c>
      <c r="M16" s="32" t="s">
        <v>35</v>
      </c>
      <c r="N16" s="33" t="s">
        <v>8</v>
      </c>
      <c r="O16" s="34">
        <v>0</v>
      </c>
      <c r="P16" s="34">
        <v>0</v>
      </c>
      <c r="Q16" s="35">
        <v>10</v>
      </c>
      <c r="R16" s="36">
        <v>40</v>
      </c>
    </row>
    <row r="17" spans="1:18" s="28" customFormat="1" ht="33.75" customHeight="1" x14ac:dyDescent="0.25">
      <c r="A17" s="29"/>
      <c r="B17" s="37" t="s">
        <v>58</v>
      </c>
      <c r="C17" s="38">
        <f>C15</f>
        <v>30</v>
      </c>
      <c r="D17" s="32" t="s">
        <v>59</v>
      </c>
      <c r="E17" s="33" t="s">
        <v>60</v>
      </c>
      <c r="F17" s="34">
        <v>2.2000000000000002</v>
      </c>
      <c r="G17" s="34">
        <v>0.2</v>
      </c>
      <c r="H17" s="35">
        <v>31.5</v>
      </c>
      <c r="I17" s="36">
        <v>136</v>
      </c>
      <c r="J17" s="39"/>
      <c r="K17" s="37" t="s">
        <v>58</v>
      </c>
      <c r="L17" s="38">
        <f>L15</f>
        <v>77</v>
      </c>
      <c r="M17" s="32" t="s">
        <v>59</v>
      </c>
      <c r="N17" s="33" t="s">
        <v>60</v>
      </c>
      <c r="O17" s="34">
        <v>2.2000000000000002</v>
      </c>
      <c r="P17" s="34">
        <v>0.2</v>
      </c>
      <c r="Q17" s="35">
        <v>31.5</v>
      </c>
      <c r="R17" s="36">
        <v>136</v>
      </c>
    </row>
    <row r="18" spans="1:18" s="28" customFormat="1" ht="33.75" customHeight="1" x14ac:dyDescent="0.4">
      <c r="A18" s="29"/>
      <c r="B18" s="30"/>
      <c r="C18" s="31"/>
      <c r="D18" s="32"/>
      <c r="E18" s="33"/>
      <c r="F18" s="35"/>
      <c r="G18" s="35"/>
      <c r="H18" s="35"/>
      <c r="I18" s="40"/>
      <c r="J18" s="39"/>
      <c r="K18" s="30"/>
      <c r="L18" s="31"/>
      <c r="M18" s="32"/>
      <c r="N18" s="33"/>
      <c r="O18" s="35"/>
      <c r="P18" s="35"/>
      <c r="Q18" s="35"/>
      <c r="R18" s="40"/>
    </row>
    <row r="19" spans="1:18" s="28" customFormat="1" ht="36" customHeight="1" thickBot="1" x14ac:dyDescent="0.3">
      <c r="A19" s="41"/>
      <c r="B19" s="42"/>
      <c r="C19" s="43"/>
      <c r="D19" s="44"/>
      <c r="E19" s="45"/>
      <c r="F19" s="46"/>
      <c r="G19" s="46"/>
      <c r="H19" s="46"/>
      <c r="I19" s="47"/>
      <c r="J19" s="48"/>
      <c r="K19" s="42"/>
      <c r="L19" s="43"/>
      <c r="M19" s="44"/>
      <c r="N19" s="45"/>
      <c r="O19" s="46"/>
      <c r="P19" s="46"/>
      <c r="Q19" s="46"/>
      <c r="R19" s="47"/>
    </row>
    <row r="20" spans="1:18" s="28" customFormat="1" ht="36" customHeight="1" thickBot="1" x14ac:dyDescent="0.3">
      <c r="A20" s="316" t="s">
        <v>0</v>
      </c>
      <c r="B20" s="317"/>
      <c r="C20" s="318"/>
      <c r="D20" s="49"/>
      <c r="E20" s="50"/>
      <c r="F20" s="51">
        <f>SUM(F13:F19)</f>
        <v>16.600000000000001</v>
      </c>
      <c r="G20" s="51">
        <f t="shared" ref="G20:I20" si="2">SUM(G13:G19)</f>
        <v>10.799999999999999</v>
      </c>
      <c r="H20" s="51">
        <f t="shared" si="2"/>
        <v>95.199999999999989</v>
      </c>
      <c r="I20" s="52">
        <f t="shared" si="2"/>
        <v>544</v>
      </c>
      <c r="J20" s="316" t="s">
        <v>0</v>
      </c>
      <c r="K20" s="317"/>
      <c r="L20" s="318"/>
      <c r="M20" s="49"/>
      <c r="N20" s="50"/>
      <c r="O20" s="51">
        <f>SUM(O13:O19)</f>
        <v>17.739999999999998</v>
      </c>
      <c r="P20" s="51">
        <f t="shared" ref="P20:R20" si="3">SUM(P13:P19)</f>
        <v>11.58</v>
      </c>
      <c r="Q20" s="51">
        <f t="shared" si="3"/>
        <v>102.88</v>
      </c>
      <c r="R20" s="52">
        <f t="shared" si="3"/>
        <v>586.4</v>
      </c>
    </row>
    <row r="21" spans="1:18" s="28" customFormat="1" ht="66" customHeight="1" x14ac:dyDescent="0.25">
      <c r="A21" s="54" t="s">
        <v>11</v>
      </c>
      <c r="B21" s="21" t="s">
        <v>30</v>
      </c>
      <c r="C21" s="22">
        <v>30</v>
      </c>
      <c r="D21" s="23" t="s">
        <v>61</v>
      </c>
      <c r="E21" s="24" t="s">
        <v>37</v>
      </c>
      <c r="F21" s="26">
        <v>1.4</v>
      </c>
      <c r="G21" s="26">
        <v>3</v>
      </c>
      <c r="H21" s="26">
        <v>2.8</v>
      </c>
      <c r="I21" s="53">
        <v>45.2</v>
      </c>
      <c r="J21" s="54" t="s">
        <v>11</v>
      </c>
      <c r="K21" s="21" t="s">
        <v>30</v>
      </c>
      <c r="L21" s="22">
        <v>82</v>
      </c>
      <c r="M21" s="23" t="s">
        <v>61</v>
      </c>
      <c r="N21" s="24" t="s">
        <v>37</v>
      </c>
      <c r="O21" s="26">
        <v>1.4</v>
      </c>
      <c r="P21" s="26">
        <v>3</v>
      </c>
      <c r="Q21" s="26">
        <v>2.8</v>
      </c>
      <c r="R21" s="53">
        <v>45.2</v>
      </c>
    </row>
    <row r="22" spans="1:18" s="55" customFormat="1" ht="67.5" customHeight="1" x14ac:dyDescent="0.25">
      <c r="A22" s="39"/>
      <c r="B22" s="37" t="s">
        <v>10</v>
      </c>
      <c r="C22" s="38">
        <f t="shared" ref="C22:C27" si="4">C21</f>
        <v>30</v>
      </c>
      <c r="D22" s="32" t="s">
        <v>62</v>
      </c>
      <c r="E22" s="33" t="s">
        <v>36</v>
      </c>
      <c r="F22" s="34">
        <v>1.5</v>
      </c>
      <c r="G22" s="34">
        <v>2.2000000000000002</v>
      </c>
      <c r="H22" s="35">
        <v>12.8</v>
      </c>
      <c r="I22" s="36">
        <v>194.3</v>
      </c>
      <c r="J22" s="39"/>
      <c r="K22" s="37" t="s">
        <v>10</v>
      </c>
      <c r="L22" s="38">
        <f t="shared" ref="L22:L27" si="5">L21</f>
        <v>82</v>
      </c>
      <c r="M22" s="32" t="s">
        <v>62</v>
      </c>
      <c r="N22" s="33" t="s">
        <v>36</v>
      </c>
      <c r="O22" s="34">
        <v>1.5</v>
      </c>
      <c r="P22" s="34">
        <v>2.2000000000000002</v>
      </c>
      <c r="Q22" s="35">
        <v>12.8</v>
      </c>
      <c r="R22" s="36">
        <v>194.3</v>
      </c>
    </row>
    <row r="23" spans="1:18" s="58" customFormat="1" ht="30" customHeight="1" x14ac:dyDescent="0.4">
      <c r="A23" s="57"/>
      <c r="B23" s="30" t="s">
        <v>9</v>
      </c>
      <c r="C23" s="31">
        <f t="shared" si="4"/>
        <v>30</v>
      </c>
      <c r="D23" s="32" t="s">
        <v>63</v>
      </c>
      <c r="E23" s="33" t="s">
        <v>64</v>
      </c>
      <c r="F23" s="34">
        <v>13.9</v>
      </c>
      <c r="G23" s="34">
        <v>0.7</v>
      </c>
      <c r="H23" s="35">
        <v>5.6</v>
      </c>
      <c r="I23" s="36">
        <v>85</v>
      </c>
      <c r="J23" s="57"/>
      <c r="K23" s="30" t="s">
        <v>9</v>
      </c>
      <c r="L23" s="31">
        <f t="shared" si="5"/>
        <v>82</v>
      </c>
      <c r="M23" s="32" t="s">
        <v>63</v>
      </c>
      <c r="N23" s="33" t="s">
        <v>64</v>
      </c>
      <c r="O23" s="34">
        <v>13.9</v>
      </c>
      <c r="P23" s="34">
        <v>0.7</v>
      </c>
      <c r="Q23" s="35">
        <v>5.6</v>
      </c>
      <c r="R23" s="36">
        <v>85</v>
      </c>
    </row>
    <row r="24" spans="1:18" s="58" customFormat="1" ht="30" customHeight="1" x14ac:dyDescent="0.4">
      <c r="A24" s="57"/>
      <c r="B24" s="37" t="s">
        <v>65</v>
      </c>
      <c r="C24" s="38">
        <f t="shared" si="4"/>
        <v>30</v>
      </c>
      <c r="D24" s="32" t="s">
        <v>66</v>
      </c>
      <c r="E24" s="33" t="s">
        <v>31</v>
      </c>
      <c r="F24" s="34">
        <v>3.7</v>
      </c>
      <c r="G24" s="34">
        <v>4.5999999999999996</v>
      </c>
      <c r="H24" s="34">
        <v>26.3</v>
      </c>
      <c r="I24" s="36">
        <v>161</v>
      </c>
      <c r="J24" s="57"/>
      <c r="K24" s="37" t="s">
        <v>65</v>
      </c>
      <c r="L24" s="38">
        <f t="shared" si="5"/>
        <v>82</v>
      </c>
      <c r="M24" s="32" t="s">
        <v>66</v>
      </c>
      <c r="N24" s="33" t="s">
        <v>32</v>
      </c>
      <c r="O24" s="34">
        <v>3.7</v>
      </c>
      <c r="P24" s="34">
        <v>4.5999999999999996</v>
      </c>
      <c r="Q24" s="34">
        <v>26.3</v>
      </c>
      <c r="R24" s="36">
        <v>161</v>
      </c>
    </row>
    <row r="25" spans="1:18" s="28" customFormat="1" ht="33.75" customHeight="1" x14ac:dyDescent="0.25">
      <c r="A25" s="39"/>
      <c r="B25" s="37" t="s">
        <v>1</v>
      </c>
      <c r="C25" s="38">
        <f t="shared" si="4"/>
        <v>30</v>
      </c>
      <c r="D25" s="32" t="s">
        <v>39</v>
      </c>
      <c r="E25" s="33" t="s">
        <v>8</v>
      </c>
      <c r="F25" s="34">
        <v>0.6</v>
      </c>
      <c r="G25" s="34"/>
      <c r="H25" s="35">
        <v>33</v>
      </c>
      <c r="I25" s="36">
        <v>136</v>
      </c>
      <c r="J25" s="39"/>
      <c r="K25" s="37" t="s">
        <v>1</v>
      </c>
      <c r="L25" s="38">
        <f t="shared" si="5"/>
        <v>82</v>
      </c>
      <c r="M25" s="32" t="s">
        <v>39</v>
      </c>
      <c r="N25" s="33" t="s">
        <v>8</v>
      </c>
      <c r="O25" s="34">
        <v>0.6</v>
      </c>
      <c r="P25" s="34"/>
      <c r="Q25" s="35">
        <v>33</v>
      </c>
      <c r="R25" s="36">
        <v>136</v>
      </c>
    </row>
    <row r="26" spans="1:18" s="59" customFormat="1" ht="33.75" customHeight="1" x14ac:dyDescent="0.25">
      <c r="A26" s="39"/>
      <c r="B26" s="37" t="s">
        <v>7</v>
      </c>
      <c r="C26" s="38">
        <f t="shared" si="4"/>
        <v>30</v>
      </c>
      <c r="D26" s="32" t="s">
        <v>6</v>
      </c>
      <c r="E26" s="33" t="s">
        <v>3</v>
      </c>
      <c r="F26" s="34">
        <v>2.5</v>
      </c>
      <c r="G26" s="34">
        <v>0.4</v>
      </c>
      <c r="H26" s="35">
        <v>10.8</v>
      </c>
      <c r="I26" s="36">
        <v>57</v>
      </c>
      <c r="J26" s="39"/>
      <c r="K26" s="37" t="s">
        <v>7</v>
      </c>
      <c r="L26" s="38">
        <f t="shared" si="5"/>
        <v>82</v>
      </c>
      <c r="M26" s="32" t="s">
        <v>6</v>
      </c>
      <c r="N26" s="33" t="s">
        <v>3</v>
      </c>
      <c r="O26" s="34">
        <v>2.5</v>
      </c>
      <c r="P26" s="34">
        <v>0.4</v>
      </c>
      <c r="Q26" s="35">
        <v>10.8</v>
      </c>
      <c r="R26" s="36">
        <v>57</v>
      </c>
    </row>
    <row r="27" spans="1:18" s="59" customFormat="1" ht="33.75" customHeight="1" x14ac:dyDescent="0.25">
      <c r="A27" s="39"/>
      <c r="B27" s="37" t="s">
        <v>5</v>
      </c>
      <c r="C27" s="38">
        <f t="shared" si="4"/>
        <v>30</v>
      </c>
      <c r="D27" s="32" t="s">
        <v>4</v>
      </c>
      <c r="E27" s="33" t="s">
        <v>3</v>
      </c>
      <c r="F27" s="34">
        <v>2.5</v>
      </c>
      <c r="G27" s="34">
        <v>0.8</v>
      </c>
      <c r="H27" s="35">
        <v>14.1</v>
      </c>
      <c r="I27" s="36">
        <v>74</v>
      </c>
      <c r="J27" s="39"/>
      <c r="K27" s="37" t="s">
        <v>5</v>
      </c>
      <c r="L27" s="38">
        <f t="shared" si="5"/>
        <v>82</v>
      </c>
      <c r="M27" s="32" t="s">
        <v>4</v>
      </c>
      <c r="N27" s="33" t="s">
        <v>3</v>
      </c>
      <c r="O27" s="34">
        <v>2.5</v>
      </c>
      <c r="P27" s="34">
        <v>0.8</v>
      </c>
      <c r="Q27" s="35">
        <v>14.1</v>
      </c>
      <c r="R27" s="36">
        <v>74</v>
      </c>
    </row>
    <row r="28" spans="1:18" s="28" customFormat="1" ht="30" customHeight="1" thickBot="1" x14ac:dyDescent="0.3">
      <c r="A28" s="48"/>
      <c r="B28" s="42"/>
      <c r="C28" s="43"/>
      <c r="D28" s="44"/>
      <c r="E28" s="45"/>
      <c r="F28" s="46"/>
      <c r="G28" s="46"/>
      <c r="H28" s="60"/>
      <c r="I28" s="47"/>
      <c r="J28" s="48"/>
      <c r="K28" s="42"/>
      <c r="L28" s="43"/>
      <c r="M28" s="44"/>
      <c r="N28" s="45"/>
      <c r="O28" s="46"/>
      <c r="P28" s="46"/>
      <c r="Q28" s="60"/>
      <c r="R28" s="47"/>
    </row>
    <row r="29" spans="1:18" s="28" customFormat="1" ht="30" customHeight="1" thickBot="1" x14ac:dyDescent="0.3">
      <c r="A29" s="310" t="s">
        <v>0</v>
      </c>
      <c r="B29" s="311"/>
      <c r="C29" s="312"/>
      <c r="D29" s="61"/>
      <c r="E29" s="62"/>
      <c r="F29" s="63">
        <f>SUM(F21:F28)</f>
        <v>26.1</v>
      </c>
      <c r="G29" s="63">
        <f>SUM(G21:G28)</f>
        <v>11.700000000000001</v>
      </c>
      <c r="H29" s="63">
        <f>SUM(H21:H28)</f>
        <v>105.39999999999999</v>
      </c>
      <c r="I29" s="64">
        <f>SUM(I21:I28)</f>
        <v>752.5</v>
      </c>
      <c r="J29" s="310" t="s">
        <v>0</v>
      </c>
      <c r="K29" s="311"/>
      <c r="L29" s="312"/>
      <c r="M29" s="61"/>
      <c r="N29" s="62"/>
      <c r="O29" s="63">
        <f>SUM(O21:O28)</f>
        <v>26.1</v>
      </c>
      <c r="P29" s="63">
        <f>SUM(P21:P28)</f>
        <v>11.700000000000001</v>
      </c>
      <c r="Q29" s="63">
        <f>SUM(Q21:Q28)</f>
        <v>105.39999999999999</v>
      </c>
      <c r="R29" s="64">
        <f>SUM(R21:R28)</f>
        <v>752.5</v>
      </c>
    </row>
    <row r="30" spans="1:18" s="28" customFormat="1" ht="30" customHeight="1" x14ac:dyDescent="0.4">
      <c r="A30" s="20" t="s">
        <v>2</v>
      </c>
      <c r="B30" s="31" t="s">
        <v>1</v>
      </c>
      <c r="C30" s="65">
        <v>29</v>
      </c>
      <c r="D30" s="32" t="s">
        <v>67</v>
      </c>
      <c r="E30" s="33" t="s">
        <v>68</v>
      </c>
      <c r="F30" s="26">
        <v>1</v>
      </c>
      <c r="G30" s="26">
        <v>0.2</v>
      </c>
      <c r="H30" s="26">
        <f>20.2</f>
        <v>20.2</v>
      </c>
      <c r="I30" s="53">
        <v>92</v>
      </c>
      <c r="J30" s="20" t="s">
        <v>2</v>
      </c>
      <c r="K30" s="31" t="s">
        <v>1</v>
      </c>
      <c r="L30" s="65">
        <v>9</v>
      </c>
      <c r="M30" s="32" t="s">
        <v>67</v>
      </c>
      <c r="N30" s="33" t="s">
        <v>68</v>
      </c>
      <c r="O30" s="26">
        <v>1</v>
      </c>
      <c r="P30" s="26">
        <v>0.2</v>
      </c>
      <c r="Q30" s="26">
        <f>20.2</f>
        <v>20.2</v>
      </c>
      <c r="R30" s="53">
        <v>92</v>
      </c>
    </row>
    <row r="31" spans="1:18" s="58" customFormat="1" ht="30" customHeight="1" x14ac:dyDescent="0.4">
      <c r="A31" s="56"/>
      <c r="B31" s="30" t="s">
        <v>69</v>
      </c>
      <c r="C31" s="31">
        <f>C30</f>
        <v>29</v>
      </c>
      <c r="D31" s="32" t="s">
        <v>70</v>
      </c>
      <c r="E31" s="33" t="s">
        <v>33</v>
      </c>
      <c r="F31" s="34">
        <v>6.5</v>
      </c>
      <c r="G31" s="34">
        <v>4.5</v>
      </c>
      <c r="H31" s="35">
        <v>31.5</v>
      </c>
      <c r="I31" s="36">
        <v>205</v>
      </c>
      <c r="J31" s="56"/>
      <c r="K31" s="30" t="s">
        <v>69</v>
      </c>
      <c r="L31" s="31">
        <f>L30</f>
        <v>9</v>
      </c>
      <c r="M31" s="32" t="s">
        <v>70</v>
      </c>
      <c r="N31" s="33" t="s">
        <v>34</v>
      </c>
      <c r="O31" s="34">
        <f>6.5/7*9</f>
        <v>8.3571428571428577</v>
      </c>
      <c r="P31" s="34">
        <f>4.5/7*9</f>
        <v>5.7857142857142865</v>
      </c>
      <c r="Q31" s="35">
        <f>31.5/7*9</f>
        <v>40.5</v>
      </c>
      <c r="R31" s="36">
        <f>205/7*9</f>
        <v>263.57142857142856</v>
      </c>
    </row>
    <row r="32" spans="1:18" s="28" customFormat="1" ht="30" customHeight="1" thickBot="1" x14ac:dyDescent="0.45">
      <c r="A32" s="41"/>
      <c r="B32" s="43"/>
      <c r="C32" s="66"/>
      <c r="D32" s="44"/>
      <c r="E32" s="45"/>
      <c r="F32" s="46"/>
      <c r="G32" s="60"/>
      <c r="H32" s="60"/>
      <c r="I32" s="67"/>
      <c r="J32" s="41"/>
      <c r="K32" s="68"/>
      <c r="L32" s="69"/>
      <c r="M32" s="44"/>
      <c r="N32" s="45"/>
      <c r="O32" s="60"/>
      <c r="P32" s="60"/>
      <c r="Q32" s="60"/>
      <c r="R32" s="67"/>
    </row>
    <row r="33" spans="1:18" s="28" customFormat="1" ht="30" customHeight="1" thickBot="1" x14ac:dyDescent="0.3">
      <c r="A33" s="310" t="s">
        <v>0</v>
      </c>
      <c r="B33" s="311"/>
      <c r="C33" s="312"/>
      <c r="D33" s="61"/>
      <c r="E33" s="62"/>
      <c r="F33" s="63">
        <f>SUM(F30:F32)</f>
        <v>7.5</v>
      </c>
      <c r="G33" s="63">
        <f>SUM(G30:G32)</f>
        <v>4.7</v>
      </c>
      <c r="H33" s="63">
        <f>SUM(H30:H32)</f>
        <v>51.7</v>
      </c>
      <c r="I33" s="64">
        <f>SUM(I30:I32)</f>
        <v>297</v>
      </c>
      <c r="J33" s="313" t="s">
        <v>0</v>
      </c>
      <c r="K33" s="314"/>
      <c r="L33" s="315"/>
      <c r="M33" s="61"/>
      <c r="N33" s="62"/>
      <c r="O33" s="63">
        <f>SUM(O30:O32)</f>
        <v>9.3571428571428577</v>
      </c>
      <c r="P33" s="63">
        <f>SUM(P30:P32)</f>
        <v>5.9857142857142867</v>
      </c>
      <c r="Q33" s="63">
        <f>SUM(Q30:Q32)</f>
        <v>60.7</v>
      </c>
      <c r="R33" s="64">
        <f>SUM(R30:R32)</f>
        <v>355.57142857142856</v>
      </c>
    </row>
    <row r="34" spans="1:18" s="55" customFormat="1" ht="24.95" customHeight="1" x14ac:dyDescent="0.25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</row>
    <row r="35" spans="1:18" s="28" customFormat="1" ht="24.95" customHeight="1" x14ac:dyDescent="0.45">
      <c r="A35" s="58"/>
      <c r="B35" s="71"/>
      <c r="C35" s="71"/>
      <c r="D35" s="73" t="s">
        <v>71</v>
      </c>
      <c r="E35" s="74"/>
      <c r="F35" s="75" t="s">
        <v>72</v>
      </c>
      <c r="G35" s="75"/>
      <c r="H35" s="76"/>
      <c r="I35" s="58"/>
      <c r="J35" s="58"/>
      <c r="K35" s="71"/>
      <c r="L35" s="71"/>
      <c r="M35" s="73" t="s">
        <v>71</v>
      </c>
      <c r="N35" s="74"/>
      <c r="O35" s="75" t="s">
        <v>72</v>
      </c>
      <c r="P35" s="75"/>
      <c r="Q35" s="72"/>
      <c r="R35" s="58"/>
    </row>
    <row r="36" spans="1:18" s="78" customFormat="1" ht="24.95" customHeight="1" x14ac:dyDescent="0.45">
      <c r="A36" s="58"/>
      <c r="B36" s="71"/>
      <c r="C36" s="71"/>
      <c r="D36" s="73"/>
      <c r="E36" s="74"/>
      <c r="F36" s="75"/>
      <c r="G36" s="75"/>
      <c r="H36" s="77"/>
      <c r="I36" s="71"/>
      <c r="J36" s="58"/>
      <c r="K36" s="71"/>
      <c r="L36" s="71"/>
      <c r="M36" s="73"/>
      <c r="N36" s="74"/>
      <c r="O36" s="75"/>
      <c r="P36" s="75"/>
      <c r="Q36" s="77"/>
      <c r="R36" s="71"/>
    </row>
    <row r="37" spans="1:18" s="71" customFormat="1" ht="24.95" customHeight="1" x14ac:dyDescent="0.45">
      <c r="A37" s="58"/>
      <c r="D37" s="73" t="s">
        <v>73</v>
      </c>
      <c r="E37" s="74"/>
      <c r="F37" s="79" t="s">
        <v>74</v>
      </c>
      <c r="G37" s="79"/>
      <c r="J37" s="58"/>
      <c r="M37" s="73" t="s">
        <v>73</v>
      </c>
      <c r="N37" s="74"/>
      <c r="O37" s="79" t="s">
        <v>74</v>
      </c>
      <c r="P37" s="79"/>
    </row>
  </sheetData>
  <mergeCells count="18">
    <mergeCell ref="A33:C33"/>
    <mergeCell ref="J33:L33"/>
    <mergeCell ref="A29:C29"/>
    <mergeCell ref="J29:L29"/>
    <mergeCell ref="A20:C20"/>
    <mergeCell ref="J20:L20"/>
    <mergeCell ref="F3:I3"/>
    <mergeCell ref="O3:R3"/>
    <mergeCell ref="F1:I2"/>
    <mergeCell ref="O1:R2"/>
    <mergeCell ref="B11:E11"/>
    <mergeCell ref="K11:N11"/>
    <mergeCell ref="C7:I7"/>
    <mergeCell ref="L7:R7"/>
    <mergeCell ref="J6:K6"/>
    <mergeCell ref="L6:R6"/>
    <mergeCell ref="A6:B6"/>
    <mergeCell ref="C6:I6"/>
  </mergeCells>
  <pageMargins left="0.7" right="0.7" top="0.75" bottom="0.75" header="0.3" footer="0.3"/>
  <pageSetup paperSize="9" scale="39" orientation="landscape" r:id="rId1"/>
  <colBreaks count="1" manualBreakCount="1">
    <brk id="9" max="37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view="pageBreakPreview" topLeftCell="A10" zoomScale="40" zoomScaleNormal="40" zoomScaleSheetLayoutView="40" workbookViewId="0">
      <selection activeCell="H52" sqref="H52"/>
    </sheetView>
  </sheetViews>
  <sheetFormatPr defaultRowHeight="23.25" x14ac:dyDescent="0.25"/>
  <cols>
    <col min="1" max="1" width="5.28515625" style="264" customWidth="1"/>
    <col min="2" max="2" width="90.28515625" style="265" customWidth="1"/>
    <col min="3" max="3" width="20" style="265" customWidth="1"/>
    <col min="4" max="4" width="11.7109375" style="265" customWidth="1"/>
    <col min="5" max="6" width="60.7109375" style="264" customWidth="1"/>
    <col min="7" max="7" width="5.7109375" style="265" customWidth="1"/>
    <col min="8" max="8" width="95.7109375" style="265" customWidth="1"/>
    <col min="9" max="9" width="18.5703125" style="265" customWidth="1"/>
    <col min="10" max="10" width="12" style="265" customWidth="1"/>
    <col min="11" max="11" width="60.7109375" style="264" customWidth="1"/>
    <col min="12" max="12" width="55" style="264" customWidth="1"/>
  </cols>
  <sheetData>
    <row r="1" spans="1:12" ht="33.75" customHeight="1" x14ac:dyDescent="0.25">
      <c r="A1" s="303" t="s">
        <v>40</v>
      </c>
      <c r="B1" s="303"/>
      <c r="C1" s="86"/>
      <c r="D1" s="86"/>
      <c r="E1" s="304" t="s">
        <v>41</v>
      </c>
      <c r="F1" s="304"/>
      <c r="G1" s="303" t="s">
        <v>40</v>
      </c>
      <c r="H1" s="303"/>
      <c r="I1" s="86"/>
      <c r="J1" s="86"/>
      <c r="K1" s="304" t="s">
        <v>41</v>
      </c>
      <c r="L1" s="304"/>
    </row>
    <row r="2" spans="1:12" ht="92.25" customHeight="1" x14ac:dyDescent="0.25">
      <c r="A2" s="305" t="s">
        <v>42</v>
      </c>
      <c r="B2" s="305"/>
      <c r="C2" s="86"/>
      <c r="D2" s="86"/>
      <c r="E2" s="304"/>
      <c r="F2" s="304"/>
      <c r="G2" s="305" t="s">
        <v>42</v>
      </c>
      <c r="H2" s="305"/>
      <c r="I2" s="86"/>
      <c r="J2" s="86"/>
      <c r="K2" s="304"/>
      <c r="L2" s="304"/>
    </row>
    <row r="3" spans="1:12" ht="33.75" customHeight="1" x14ac:dyDescent="0.25">
      <c r="A3" s="303" t="s">
        <v>139</v>
      </c>
      <c r="B3" s="303"/>
      <c r="C3" s="86"/>
      <c r="D3" s="86"/>
      <c r="E3" s="304" t="s">
        <v>75</v>
      </c>
      <c r="F3" s="304"/>
      <c r="G3" s="303" t="s">
        <v>139</v>
      </c>
      <c r="H3" s="303"/>
      <c r="I3" s="86"/>
      <c r="J3" s="86"/>
      <c r="K3" s="304" t="s">
        <v>75</v>
      </c>
      <c r="L3" s="304"/>
    </row>
    <row r="4" spans="1:12" ht="33" x14ac:dyDescent="0.25">
      <c r="A4" s="306" t="s">
        <v>45</v>
      </c>
      <c r="B4" s="306"/>
      <c r="C4" s="86"/>
      <c r="D4" s="86"/>
      <c r="E4" s="306" t="s">
        <v>45</v>
      </c>
      <c r="F4" s="306"/>
      <c r="G4" s="306" t="s">
        <v>45</v>
      </c>
      <c r="H4" s="306"/>
      <c r="I4" s="86"/>
      <c r="J4" s="86"/>
      <c r="K4" s="306" t="s">
        <v>45</v>
      </c>
      <c r="L4" s="306"/>
    </row>
    <row r="5" spans="1:12" ht="33.75" x14ac:dyDescent="0.25">
      <c r="A5" s="182"/>
      <c r="B5" s="182"/>
      <c r="C5" s="182"/>
      <c r="D5" s="182"/>
      <c r="E5" s="86"/>
      <c r="F5" s="86"/>
      <c r="G5" s="182"/>
      <c r="H5" s="182"/>
      <c r="I5" s="182"/>
      <c r="J5" s="182"/>
      <c r="K5" s="86"/>
      <c r="L5" s="86"/>
    </row>
    <row r="6" spans="1:12" ht="87.75" customHeight="1" x14ac:dyDescent="0.25">
      <c r="A6" s="308" t="s">
        <v>46</v>
      </c>
      <c r="B6" s="308"/>
      <c r="C6" s="309" t="s">
        <v>47</v>
      </c>
      <c r="D6" s="309"/>
      <c r="E6" s="309"/>
      <c r="F6" s="309"/>
      <c r="G6" s="308" t="s">
        <v>46</v>
      </c>
      <c r="H6" s="308"/>
      <c r="I6" s="309" t="s">
        <v>47</v>
      </c>
      <c r="J6" s="309"/>
      <c r="K6" s="309"/>
      <c r="L6" s="309"/>
    </row>
    <row r="7" spans="1:12" ht="33" customHeight="1" x14ac:dyDescent="0.25">
      <c r="A7" s="183"/>
      <c r="B7" s="183"/>
      <c r="C7" s="309" t="s">
        <v>48</v>
      </c>
      <c r="D7" s="309"/>
      <c r="E7" s="309"/>
      <c r="F7" s="309"/>
      <c r="G7" s="183"/>
      <c r="H7" s="183"/>
      <c r="I7" s="309" t="s">
        <v>48</v>
      </c>
      <c r="J7" s="309"/>
      <c r="K7" s="309"/>
      <c r="L7" s="309"/>
    </row>
    <row r="8" spans="1:12" ht="33" x14ac:dyDescent="0.25">
      <c r="A8" s="183"/>
      <c r="B8" s="183"/>
      <c r="C8" s="184"/>
      <c r="D8" s="184"/>
      <c r="E8" s="184"/>
      <c r="F8" s="184"/>
      <c r="G8" s="183"/>
      <c r="H8" s="183"/>
      <c r="I8" s="184"/>
      <c r="J8" s="184"/>
      <c r="K8" s="184"/>
      <c r="L8" s="184"/>
    </row>
    <row r="9" spans="1:12" ht="44.25" customHeight="1" x14ac:dyDescent="0.25">
      <c r="A9" s="185" t="s">
        <v>49</v>
      </c>
      <c r="B9" s="185"/>
      <c r="C9" s="307" t="s">
        <v>140</v>
      </c>
      <c r="D9" s="307"/>
      <c r="E9" s="307"/>
      <c r="F9" s="185"/>
      <c r="G9" s="185" t="s">
        <v>49</v>
      </c>
      <c r="H9" s="185"/>
      <c r="I9" s="307" t="s">
        <v>141</v>
      </c>
      <c r="J9" s="307"/>
      <c r="K9" s="307"/>
      <c r="L9" s="185"/>
    </row>
    <row r="10" spans="1:12" ht="28.5" thickBot="1" x14ac:dyDescent="0.3">
      <c r="A10" s="75"/>
      <c r="B10" s="186"/>
      <c r="C10" s="187"/>
      <c r="D10" s="187"/>
      <c r="E10" s="188"/>
      <c r="F10" s="75"/>
      <c r="G10" s="75"/>
      <c r="H10" s="186"/>
      <c r="I10" s="189"/>
      <c r="J10" s="189"/>
      <c r="K10" s="188"/>
      <c r="L10" s="75"/>
    </row>
    <row r="11" spans="1:12" ht="81.75" customHeight="1" thickBot="1" x14ac:dyDescent="0.3">
      <c r="A11" s="190"/>
      <c r="B11" s="191"/>
      <c r="C11" s="192" t="s">
        <v>142</v>
      </c>
      <c r="D11" s="192"/>
      <c r="E11" s="193" t="s">
        <v>143</v>
      </c>
      <c r="F11" s="194">
        <v>44663</v>
      </c>
      <c r="G11" s="195"/>
      <c r="H11" s="191"/>
      <c r="I11" s="192" t="str">
        <f>C11</f>
        <v>Выход, гр</v>
      </c>
      <c r="J11" s="192"/>
      <c r="K11" s="193" t="str">
        <f>E11</f>
        <v>Цена Продажная</v>
      </c>
      <c r="L11" s="196">
        <f>F11</f>
        <v>44663</v>
      </c>
    </row>
    <row r="12" spans="1:12" ht="33" customHeight="1" x14ac:dyDescent="0.25">
      <c r="A12" s="197"/>
      <c r="B12" s="198"/>
      <c r="C12" s="199"/>
      <c r="D12" s="198"/>
      <c r="E12" s="200"/>
      <c r="F12" s="201"/>
      <c r="G12" s="202"/>
      <c r="H12" s="203"/>
      <c r="I12" s="204"/>
      <c r="J12" s="203"/>
      <c r="K12" s="205"/>
      <c r="L12" s="206"/>
    </row>
    <row r="13" spans="1:12" ht="30.75" x14ac:dyDescent="0.25">
      <c r="A13" s="207"/>
      <c r="B13" s="208" t="s">
        <v>144</v>
      </c>
      <c r="C13" s="208">
        <v>30</v>
      </c>
      <c r="D13" s="209" t="s">
        <v>145</v>
      </c>
      <c r="E13" s="210"/>
      <c r="F13" s="211"/>
      <c r="G13" s="212"/>
      <c r="H13" s="208" t="str">
        <f>B13</f>
        <v>ЗАВТРАК</v>
      </c>
      <c r="I13" s="208">
        <v>77</v>
      </c>
      <c r="J13" s="209" t="str">
        <f>D13</f>
        <v>чел</v>
      </c>
      <c r="K13" s="210"/>
      <c r="L13" s="211"/>
    </row>
    <row r="14" spans="1:12" ht="30" x14ac:dyDescent="0.25">
      <c r="A14" s="213">
        <v>1</v>
      </c>
      <c r="B14" s="214" t="s">
        <v>52</v>
      </c>
      <c r="C14" s="215" t="s">
        <v>53</v>
      </c>
      <c r="D14" s="215"/>
      <c r="E14" s="210">
        <f>100-19.88-23</f>
        <v>57.120000000000005</v>
      </c>
      <c r="F14" s="216"/>
      <c r="G14" s="213">
        <v>1</v>
      </c>
      <c r="H14" s="214" t="s">
        <v>52</v>
      </c>
      <c r="I14" s="215" t="s">
        <v>54</v>
      </c>
      <c r="J14" s="214"/>
      <c r="K14" s="210">
        <f>100-19.88-23+10.4</f>
        <v>67.52000000000001</v>
      </c>
      <c r="L14" s="217"/>
    </row>
    <row r="15" spans="1:12" ht="30" x14ac:dyDescent="0.25">
      <c r="A15" s="213">
        <f>A14+1</f>
        <v>2</v>
      </c>
      <c r="B15" s="214" t="s">
        <v>56</v>
      </c>
      <c r="C15" s="215" t="s">
        <v>57</v>
      </c>
      <c r="D15" s="215"/>
      <c r="E15" s="210">
        <v>15</v>
      </c>
      <c r="F15" s="216"/>
      <c r="G15" s="213">
        <f>G14+1</f>
        <v>2</v>
      </c>
      <c r="H15" s="214" t="s">
        <v>56</v>
      </c>
      <c r="I15" s="215" t="s">
        <v>57</v>
      </c>
      <c r="J15" s="214"/>
      <c r="K15" s="210">
        <v>15</v>
      </c>
      <c r="L15" s="217"/>
    </row>
    <row r="16" spans="1:12" ht="30" x14ac:dyDescent="0.25">
      <c r="A16" s="213">
        <f>A15+1</f>
        <v>3</v>
      </c>
      <c r="B16" s="214" t="s">
        <v>13</v>
      </c>
      <c r="C16" s="215" t="s">
        <v>12</v>
      </c>
      <c r="D16" s="215"/>
      <c r="E16" s="210">
        <v>10.08</v>
      </c>
      <c r="F16" s="216"/>
      <c r="G16" s="213">
        <f>G15+1</f>
        <v>3</v>
      </c>
      <c r="H16" s="214" t="s">
        <v>13</v>
      </c>
      <c r="I16" s="215" t="s">
        <v>12</v>
      </c>
      <c r="J16" s="214"/>
      <c r="K16" s="210">
        <v>10.08</v>
      </c>
      <c r="L16" s="217"/>
    </row>
    <row r="17" spans="1:12" ht="30" x14ac:dyDescent="0.25">
      <c r="A17" s="213">
        <v>4</v>
      </c>
      <c r="B17" s="214" t="s">
        <v>35</v>
      </c>
      <c r="C17" s="215" t="s">
        <v>8</v>
      </c>
      <c r="D17" s="215"/>
      <c r="E17" s="210"/>
      <c r="F17" s="218"/>
      <c r="G17" s="213">
        <v>4</v>
      </c>
      <c r="H17" s="214" t="s">
        <v>35</v>
      </c>
      <c r="I17" s="215" t="s">
        <v>8</v>
      </c>
      <c r="J17" s="214"/>
      <c r="K17" s="210"/>
      <c r="L17" s="217"/>
    </row>
    <row r="18" spans="1:12" ht="26.25" customHeight="1" x14ac:dyDescent="0.25">
      <c r="A18" s="213">
        <v>5</v>
      </c>
      <c r="B18" s="214" t="s">
        <v>59</v>
      </c>
      <c r="C18" s="215" t="s">
        <v>60</v>
      </c>
      <c r="D18" s="215"/>
      <c r="E18" s="210"/>
      <c r="F18" s="218"/>
      <c r="G18" s="213">
        <v>5</v>
      </c>
      <c r="H18" s="214" t="s">
        <v>59</v>
      </c>
      <c r="I18" s="215" t="s">
        <v>60</v>
      </c>
      <c r="J18" s="214"/>
      <c r="K18" s="210"/>
      <c r="L18" s="217"/>
    </row>
    <row r="19" spans="1:12" ht="30" x14ac:dyDescent="0.25">
      <c r="A19" s="213"/>
      <c r="B19" s="214"/>
      <c r="C19" s="215"/>
      <c r="D19" s="215"/>
      <c r="E19" s="210"/>
      <c r="F19" s="219"/>
      <c r="G19" s="213"/>
      <c r="H19" s="214"/>
      <c r="I19" s="215"/>
      <c r="J19" s="214"/>
      <c r="K19" s="210"/>
      <c r="L19" s="219"/>
    </row>
    <row r="20" spans="1:12" ht="30" x14ac:dyDescent="0.25">
      <c r="A20" s="213"/>
      <c r="B20" s="214"/>
      <c r="C20" s="215"/>
      <c r="D20" s="215"/>
      <c r="E20" s="210"/>
      <c r="F20" s="219"/>
      <c r="G20" s="213"/>
      <c r="H20" s="214"/>
      <c r="I20" s="215"/>
      <c r="J20" s="215"/>
      <c r="K20" s="210"/>
      <c r="L20" s="219"/>
    </row>
    <row r="21" spans="1:12" ht="30.75" x14ac:dyDescent="0.25">
      <c r="A21" s="207"/>
      <c r="B21" s="220" t="s">
        <v>0</v>
      </c>
      <c r="C21" s="221"/>
      <c r="D21" s="222"/>
      <c r="E21" s="210">
        <v>115.2</v>
      </c>
      <c r="F21" s="223">
        <f>107.27-E21</f>
        <v>-7.9300000000000068</v>
      </c>
      <c r="G21" s="212"/>
      <c r="H21" s="220" t="s">
        <v>0</v>
      </c>
      <c r="I21" s="221"/>
      <c r="J21" s="222"/>
      <c r="K21" s="210">
        <v>138.6</v>
      </c>
      <c r="L21" s="223">
        <f>129.4-K21</f>
        <v>-9.1999999999999886</v>
      </c>
    </row>
    <row r="22" spans="1:12" ht="30.75" x14ac:dyDescent="0.25">
      <c r="A22" s="207"/>
      <c r="B22" s="224"/>
      <c r="C22" s="225"/>
      <c r="D22" s="224"/>
      <c r="E22" s="210"/>
      <c r="F22" s="217"/>
      <c r="G22" s="226"/>
      <c r="H22" s="224"/>
      <c r="I22" s="225"/>
      <c r="J22" s="227"/>
      <c r="K22" s="210"/>
      <c r="L22" s="228"/>
    </row>
    <row r="23" spans="1:12" ht="30.75" x14ac:dyDescent="0.25">
      <c r="A23" s="207"/>
      <c r="B23" s="229" t="s">
        <v>147</v>
      </c>
      <c r="C23" s="230" t="s">
        <v>157</v>
      </c>
      <c r="D23" s="209" t="s">
        <v>145</v>
      </c>
      <c r="E23" s="210"/>
      <c r="F23" s="219"/>
      <c r="G23" s="207"/>
      <c r="H23" s="229" t="s">
        <v>147</v>
      </c>
      <c r="I23" s="230" t="s">
        <v>165</v>
      </c>
      <c r="J23" s="231" t="str">
        <f>D23</f>
        <v>чел</v>
      </c>
      <c r="K23" s="210"/>
      <c r="L23" s="219"/>
    </row>
    <row r="24" spans="1:12" ht="62.25" customHeight="1" x14ac:dyDescent="0.25">
      <c r="A24" s="213">
        <f>A23+1</f>
        <v>1</v>
      </c>
      <c r="B24" s="214" t="s">
        <v>61</v>
      </c>
      <c r="C24" s="215" t="s">
        <v>37</v>
      </c>
      <c r="D24" s="215"/>
      <c r="E24" s="210">
        <v>20</v>
      </c>
      <c r="F24" s="232"/>
      <c r="G24" s="213">
        <f>G23+1</f>
        <v>1</v>
      </c>
      <c r="H24" s="214" t="s">
        <v>61</v>
      </c>
      <c r="I24" s="215" t="s">
        <v>37</v>
      </c>
      <c r="J24" s="214"/>
      <c r="K24" s="210">
        <v>20</v>
      </c>
      <c r="L24" s="232"/>
    </row>
    <row r="25" spans="1:12" ht="30" x14ac:dyDescent="0.25">
      <c r="A25" s="213">
        <f>A24+1</f>
        <v>2</v>
      </c>
      <c r="B25" s="214" t="s">
        <v>62</v>
      </c>
      <c r="C25" s="215" t="s">
        <v>36</v>
      </c>
      <c r="D25" s="215"/>
      <c r="E25" s="210">
        <v>80</v>
      </c>
      <c r="F25" s="232"/>
      <c r="G25" s="213">
        <f>G24+1</f>
        <v>2</v>
      </c>
      <c r="H25" s="214" t="s">
        <v>62</v>
      </c>
      <c r="I25" s="215" t="s">
        <v>36</v>
      </c>
      <c r="J25" s="214"/>
      <c r="K25" s="210">
        <v>80</v>
      </c>
      <c r="L25" s="232"/>
    </row>
    <row r="26" spans="1:12" ht="30" x14ac:dyDescent="0.25">
      <c r="A26" s="213">
        <f>A25+1</f>
        <v>3</v>
      </c>
      <c r="B26" s="214" t="s">
        <v>63</v>
      </c>
      <c r="C26" s="215" t="s">
        <v>64</v>
      </c>
      <c r="D26" s="215"/>
      <c r="E26" s="210">
        <f>69.6-7.5</f>
        <v>62.099999999999994</v>
      </c>
      <c r="F26" s="218"/>
      <c r="G26" s="213">
        <f>G25+1</f>
        <v>3</v>
      </c>
      <c r="H26" s="214" t="s">
        <v>63</v>
      </c>
      <c r="I26" s="215" t="s">
        <v>64</v>
      </c>
      <c r="J26" s="214"/>
      <c r="K26" s="210">
        <f>62.1*1.2-2.82</f>
        <v>71.7</v>
      </c>
      <c r="L26" s="218"/>
    </row>
    <row r="27" spans="1:12" ht="30.75" x14ac:dyDescent="0.25">
      <c r="A27" s="213">
        <f>A26+1</f>
        <v>4</v>
      </c>
      <c r="B27" s="214" t="s">
        <v>66</v>
      </c>
      <c r="C27" s="215" t="s">
        <v>31</v>
      </c>
      <c r="D27" s="215"/>
      <c r="E27" s="210">
        <v>15</v>
      </c>
      <c r="F27" s="228"/>
      <c r="G27" s="213">
        <f>G26+1</f>
        <v>4</v>
      </c>
      <c r="H27" s="214" t="s">
        <v>66</v>
      </c>
      <c r="I27" s="215" t="s">
        <v>32</v>
      </c>
      <c r="J27" s="214"/>
      <c r="K27" s="210">
        <v>18</v>
      </c>
      <c r="L27" s="218"/>
    </row>
    <row r="28" spans="1:12" ht="30.75" x14ac:dyDescent="0.25">
      <c r="A28" s="213">
        <f>A27+1</f>
        <v>5</v>
      </c>
      <c r="B28" s="214" t="s">
        <v>39</v>
      </c>
      <c r="C28" s="215" t="s">
        <v>8</v>
      </c>
      <c r="D28" s="215"/>
      <c r="E28" s="210">
        <v>20</v>
      </c>
      <c r="F28" s="228"/>
      <c r="G28" s="213">
        <f>G27+1</f>
        <v>5</v>
      </c>
      <c r="H28" s="214" t="s">
        <v>39</v>
      </c>
      <c r="I28" s="215" t="s">
        <v>8</v>
      </c>
      <c r="J28" s="214"/>
      <c r="K28" s="210">
        <v>20</v>
      </c>
      <c r="L28" s="218"/>
    </row>
    <row r="29" spans="1:12" ht="33" customHeight="1" x14ac:dyDescent="0.25">
      <c r="A29" s="213">
        <v>6</v>
      </c>
      <c r="B29" s="214" t="s">
        <v>6</v>
      </c>
      <c r="C29" s="215" t="s">
        <v>3</v>
      </c>
      <c r="D29" s="215"/>
      <c r="E29" s="210">
        <v>7.5</v>
      </c>
      <c r="F29" s="228"/>
      <c r="G29" s="213">
        <v>6</v>
      </c>
      <c r="H29" s="214" t="s">
        <v>6</v>
      </c>
      <c r="I29" s="215" t="s">
        <v>3</v>
      </c>
      <c r="J29" s="214"/>
      <c r="K29" s="210">
        <v>7.5</v>
      </c>
      <c r="L29" s="218"/>
    </row>
    <row r="30" spans="1:12" ht="28.5" customHeight="1" x14ac:dyDescent="0.25">
      <c r="A30" s="213">
        <v>7</v>
      </c>
      <c r="B30" s="214" t="s">
        <v>4</v>
      </c>
      <c r="C30" s="215" t="s">
        <v>3</v>
      </c>
      <c r="D30" s="215"/>
      <c r="E30" s="210"/>
      <c r="F30" s="228"/>
      <c r="G30" s="213">
        <v>7</v>
      </c>
      <c r="H30" s="214" t="s">
        <v>4</v>
      </c>
      <c r="I30" s="215" t="s">
        <v>3</v>
      </c>
      <c r="J30" s="214"/>
      <c r="K30" s="210"/>
      <c r="L30" s="218"/>
    </row>
    <row r="31" spans="1:12" ht="30.75" x14ac:dyDescent="0.25">
      <c r="A31" s="207"/>
      <c r="B31" s="214"/>
      <c r="C31" s="215"/>
      <c r="D31" s="215"/>
      <c r="E31" s="210"/>
      <c r="F31" s="228"/>
      <c r="G31" s="212"/>
      <c r="H31" s="214"/>
      <c r="I31" s="215"/>
      <c r="J31" s="214"/>
      <c r="K31" s="210"/>
      <c r="L31" s="228"/>
    </row>
    <row r="32" spans="1:12" ht="30.75" x14ac:dyDescent="0.25">
      <c r="A32" s="207"/>
      <c r="B32" s="233"/>
      <c r="C32" s="234"/>
      <c r="D32" s="222"/>
      <c r="E32" s="210"/>
      <c r="F32" s="228"/>
      <c r="G32" s="207"/>
      <c r="H32" s="233"/>
      <c r="I32" s="234"/>
      <c r="J32" s="221"/>
      <c r="K32" s="210"/>
      <c r="L32" s="228"/>
    </row>
    <row r="33" spans="1:12" ht="30.75" x14ac:dyDescent="0.25">
      <c r="A33" s="207"/>
      <c r="B33" s="235" t="s">
        <v>0</v>
      </c>
      <c r="C33" s="221"/>
      <c r="D33" s="222"/>
      <c r="E33" s="210">
        <v>210.6</v>
      </c>
      <c r="F33" s="223">
        <f>197.87-E33</f>
        <v>-12.72999999999999</v>
      </c>
      <c r="G33" s="207"/>
      <c r="H33" s="235" t="s">
        <v>0</v>
      </c>
      <c r="I33" s="221"/>
      <c r="J33" s="221"/>
      <c r="K33" s="210">
        <v>223.2</v>
      </c>
      <c r="L33" s="223">
        <f>209.73-K33</f>
        <v>-13.469999999999999</v>
      </c>
    </row>
    <row r="34" spans="1:12" ht="30.75" x14ac:dyDescent="0.25">
      <c r="A34" s="207"/>
      <c r="B34" s="227"/>
      <c r="C34" s="236"/>
      <c r="D34" s="222"/>
      <c r="E34" s="210"/>
      <c r="F34" s="228"/>
      <c r="G34" s="207"/>
      <c r="H34" s="227"/>
      <c r="I34" s="236"/>
      <c r="J34" s="221"/>
      <c r="K34" s="210"/>
      <c r="L34" s="228"/>
    </row>
    <row r="35" spans="1:12" ht="30.75" x14ac:dyDescent="0.25">
      <c r="A35" s="207"/>
      <c r="B35" s="229"/>
      <c r="C35" s="237"/>
      <c r="D35" s="209"/>
      <c r="E35" s="210"/>
      <c r="F35" s="219"/>
      <c r="G35" s="207"/>
      <c r="H35" s="229"/>
      <c r="I35" s="237"/>
      <c r="J35" s="231"/>
      <c r="K35" s="210"/>
      <c r="L35" s="219"/>
    </row>
    <row r="36" spans="1:12" ht="30.75" x14ac:dyDescent="0.25">
      <c r="A36" s="207"/>
      <c r="B36" s="229" t="s">
        <v>152</v>
      </c>
      <c r="C36" s="208">
        <v>29</v>
      </c>
      <c r="D36" s="209" t="s">
        <v>145</v>
      </c>
      <c r="E36" s="210"/>
      <c r="F36" s="238"/>
      <c r="G36" s="207"/>
      <c r="H36" s="229" t="s">
        <v>152</v>
      </c>
      <c r="I36" s="208">
        <v>9</v>
      </c>
      <c r="J36" s="231" t="str">
        <f>D36</f>
        <v>чел</v>
      </c>
      <c r="K36" s="210"/>
      <c r="L36" s="238"/>
    </row>
    <row r="37" spans="1:12" ht="30" x14ac:dyDescent="0.25">
      <c r="A37" s="213">
        <v>1</v>
      </c>
      <c r="B37" s="214" t="s">
        <v>67</v>
      </c>
      <c r="C37" s="215" t="s">
        <v>68</v>
      </c>
      <c r="D37" s="214"/>
      <c r="E37" s="210">
        <f>82.5-20</f>
        <v>62.5</v>
      </c>
      <c r="F37" s="218"/>
      <c r="G37" s="213">
        <f>A37</f>
        <v>1</v>
      </c>
      <c r="H37" s="214" t="s">
        <v>67</v>
      </c>
      <c r="I37" s="215" t="s">
        <v>68</v>
      </c>
      <c r="J37" s="215"/>
      <c r="K37" s="210">
        <f>82.5-20</f>
        <v>62.5</v>
      </c>
      <c r="L37" s="217"/>
    </row>
    <row r="38" spans="1:12" ht="30" x14ac:dyDescent="0.25">
      <c r="A38" s="213">
        <f>A37+1</f>
        <v>2</v>
      </c>
      <c r="B38" s="214" t="s">
        <v>70</v>
      </c>
      <c r="C38" s="215" t="s">
        <v>33</v>
      </c>
      <c r="D38" s="214"/>
      <c r="E38" s="210">
        <v>34.700000000000003</v>
      </c>
      <c r="F38" s="218"/>
      <c r="G38" s="213">
        <f>A38</f>
        <v>2</v>
      </c>
      <c r="H38" s="214" t="s">
        <v>70</v>
      </c>
      <c r="I38" s="215" t="s">
        <v>34</v>
      </c>
      <c r="J38" s="215"/>
      <c r="K38" s="210">
        <v>43.7</v>
      </c>
      <c r="L38" s="217"/>
    </row>
    <row r="39" spans="1:12" ht="30" x14ac:dyDescent="0.25">
      <c r="A39" s="213"/>
      <c r="B39" s="214"/>
      <c r="C39" s="239"/>
      <c r="D39" s="214"/>
      <c r="E39" s="210"/>
      <c r="F39" s="218"/>
      <c r="G39" s="213"/>
      <c r="H39" s="214"/>
      <c r="I39" s="239"/>
      <c r="J39" s="215"/>
      <c r="K39" s="210"/>
      <c r="L39" s="217"/>
    </row>
    <row r="40" spans="1:12" ht="30.75" x14ac:dyDescent="0.25">
      <c r="A40" s="240"/>
      <c r="B40" s="214"/>
      <c r="C40" s="215"/>
      <c r="D40" s="215"/>
      <c r="E40" s="210"/>
      <c r="F40" s="241"/>
      <c r="G40" s="207"/>
      <c r="H40" s="214"/>
      <c r="I40" s="215"/>
      <c r="J40" s="215"/>
      <c r="K40" s="210"/>
      <c r="L40" s="219"/>
    </row>
    <row r="41" spans="1:12" ht="30.75" x14ac:dyDescent="0.25">
      <c r="A41" s="207"/>
      <c r="B41" s="220" t="s">
        <v>0</v>
      </c>
      <c r="C41" s="221"/>
      <c r="D41" s="222"/>
      <c r="E41" s="210">
        <v>97.2</v>
      </c>
      <c r="F41" s="223">
        <f>89.6-E41</f>
        <v>-7.6000000000000085</v>
      </c>
      <c r="G41" s="207"/>
      <c r="H41" s="235" t="str">
        <f>B41</f>
        <v>Итого:</v>
      </c>
      <c r="I41" s="221"/>
      <c r="J41" s="221"/>
      <c r="K41" s="210">
        <v>106.2</v>
      </c>
      <c r="L41" s="223">
        <f>98.6-K41</f>
        <v>-7.6000000000000085</v>
      </c>
    </row>
    <row r="42" spans="1:12" ht="27.75" x14ac:dyDescent="0.25">
      <c r="A42" s="240"/>
      <c r="B42" s="242"/>
      <c r="C42" s="242"/>
      <c r="D42" s="242"/>
      <c r="E42" s="243"/>
      <c r="F42" s="241"/>
      <c r="G42" s="244"/>
      <c r="H42" s="242"/>
      <c r="I42" s="242"/>
      <c r="J42" s="242"/>
      <c r="K42" s="245"/>
      <c r="L42" s="241"/>
    </row>
    <row r="43" spans="1:12" ht="26.25" x14ac:dyDescent="0.25">
      <c r="A43" s="246"/>
      <c r="B43" s="247"/>
      <c r="C43" s="248"/>
      <c r="D43" s="247"/>
      <c r="E43" s="249"/>
      <c r="F43" s="250"/>
      <c r="G43" s="251"/>
      <c r="H43" s="247"/>
      <c r="I43" s="248"/>
      <c r="J43" s="247"/>
      <c r="K43" s="249"/>
      <c r="L43" s="250"/>
    </row>
    <row r="44" spans="1:12" ht="30.75" x14ac:dyDescent="0.25">
      <c r="A44" s="207"/>
      <c r="B44" s="252" t="s">
        <v>71</v>
      </c>
      <c r="C44" s="222"/>
      <c r="D44" s="253" t="s">
        <v>72</v>
      </c>
      <c r="E44" s="254"/>
      <c r="F44" s="211"/>
      <c r="G44" s="212"/>
      <c r="H44" s="252" t="str">
        <f>B44</f>
        <v>Бухгалтер</v>
      </c>
      <c r="I44" s="222"/>
      <c r="J44" s="253" t="str">
        <f>D44</f>
        <v>Гудым Д.С.</v>
      </c>
      <c r="K44" s="254"/>
      <c r="L44" s="211"/>
    </row>
    <row r="45" spans="1:12" ht="31.5" thickBot="1" x14ac:dyDescent="0.3">
      <c r="A45" s="255"/>
      <c r="B45" s="256" t="s">
        <v>154</v>
      </c>
      <c r="C45" s="257"/>
      <c r="D45" s="258" t="s">
        <v>74</v>
      </c>
      <c r="E45" s="259"/>
      <c r="F45" s="260"/>
      <c r="G45" s="255"/>
      <c r="H45" s="256" t="str">
        <f>B45</f>
        <v>Зав.производством</v>
      </c>
      <c r="I45" s="257"/>
      <c r="J45" s="261" t="str">
        <f>D45</f>
        <v>Катанцева Я.В.</v>
      </c>
      <c r="K45" s="259"/>
      <c r="L45" s="260"/>
    </row>
    <row r="46" spans="1:12" ht="22.5" x14ac:dyDescent="0.25">
      <c r="A46" s="262"/>
      <c r="B46" s="263"/>
      <c r="C46" s="263"/>
      <c r="D46" s="263"/>
      <c r="E46" s="262"/>
      <c r="F46" s="262"/>
      <c r="G46" s="263"/>
      <c r="H46" s="263"/>
      <c r="I46" s="263"/>
      <c r="J46" s="263"/>
      <c r="K46" s="262"/>
      <c r="L46" s="262"/>
    </row>
    <row r="47" spans="1:12" ht="22.5" x14ac:dyDescent="0.25">
      <c r="A47" s="262"/>
      <c r="B47" s="263"/>
      <c r="C47" s="263"/>
      <c r="D47" s="263"/>
      <c r="E47" s="262"/>
      <c r="F47" s="262"/>
      <c r="G47" s="263"/>
      <c r="H47" s="263"/>
      <c r="I47" s="263"/>
      <c r="J47" s="263"/>
      <c r="K47" s="262"/>
      <c r="L47" s="262"/>
    </row>
    <row r="48" spans="1:12" ht="22.5" x14ac:dyDescent="0.25">
      <c r="A48" s="262"/>
      <c r="B48" s="263"/>
      <c r="C48" s="263"/>
      <c r="D48" s="263"/>
      <c r="E48" s="262"/>
      <c r="F48" s="262"/>
      <c r="G48" s="263"/>
      <c r="H48" s="263"/>
      <c r="I48" s="263"/>
      <c r="J48" s="263"/>
      <c r="K48" s="262"/>
      <c r="L48" s="262"/>
    </row>
    <row r="49" spans="1:12" ht="30" x14ac:dyDescent="0.25">
      <c r="A49" s="262"/>
      <c r="B49" s="214"/>
      <c r="C49" s="215"/>
      <c r="D49" s="215"/>
      <c r="E49" s="215"/>
      <c r="F49" s="262"/>
      <c r="G49" s="263"/>
      <c r="H49" s="263"/>
      <c r="I49" s="263"/>
      <c r="J49" s="263"/>
      <c r="K49" s="262"/>
      <c r="L49" s="262"/>
    </row>
  </sheetData>
  <mergeCells count="22">
    <mergeCell ref="C9:E9"/>
    <mergeCell ref="I9:K9"/>
    <mergeCell ref="A6:B6"/>
    <mergeCell ref="C6:F6"/>
    <mergeCell ref="G6:H6"/>
    <mergeCell ref="I6:L6"/>
    <mergeCell ref="C7:F7"/>
    <mergeCell ref="I7:L7"/>
    <mergeCell ref="A3:B3"/>
    <mergeCell ref="E3:F3"/>
    <mergeCell ref="G3:H3"/>
    <mergeCell ref="K3:L3"/>
    <mergeCell ref="A4:B4"/>
    <mergeCell ref="E4:F4"/>
    <mergeCell ref="G4:H4"/>
    <mergeCell ref="K4:L4"/>
    <mergeCell ref="A1:B1"/>
    <mergeCell ref="E1:F2"/>
    <mergeCell ref="G1:H1"/>
    <mergeCell ref="K1:L2"/>
    <mergeCell ref="A2:B2"/>
    <mergeCell ref="G2:H2"/>
  </mergeCells>
  <pageMargins left="0.7" right="0.7" top="0.75" bottom="0.75" header="0.3" footer="0.3"/>
  <pageSetup paperSize="9" scale="35" orientation="portrait" r:id="rId1"/>
  <colBreaks count="1" manualBreakCount="1">
    <brk id="6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tabSelected="1" view="pageBreakPreview" zoomScale="40" zoomScaleNormal="60" zoomScaleSheetLayoutView="40" workbookViewId="0">
      <selection activeCell="D30" sqref="D30"/>
    </sheetView>
  </sheetViews>
  <sheetFormatPr defaultRowHeight="18.75" x14ac:dyDescent="0.3"/>
  <cols>
    <col min="1" max="2" width="25.7109375" style="80" customWidth="1"/>
    <col min="3" max="3" width="15.7109375" style="80" customWidth="1"/>
    <col min="4" max="4" width="83.28515625" style="80" customWidth="1"/>
    <col min="5" max="6" width="25.7109375" style="80" customWidth="1"/>
    <col min="7" max="7" width="27.42578125" style="80" customWidth="1"/>
    <col min="8" max="8" width="22.7109375" style="80" customWidth="1"/>
    <col min="9" max="9" width="24.5703125" style="80" customWidth="1"/>
    <col min="10" max="10" width="36.5703125" style="80" customWidth="1"/>
    <col min="11" max="12" width="25.7109375" style="80" customWidth="1"/>
    <col min="13" max="13" width="15.7109375" style="80" customWidth="1"/>
    <col min="14" max="14" width="82.28515625" style="80" customWidth="1"/>
    <col min="15" max="16" width="25.7109375" style="80" customWidth="1"/>
    <col min="17" max="17" width="25.5703125" style="80" customWidth="1"/>
    <col min="18" max="18" width="26.42578125" style="80" customWidth="1"/>
    <col min="19" max="19" width="23.42578125" style="80" customWidth="1"/>
    <col min="20" max="20" width="40.42578125" style="80" customWidth="1"/>
  </cols>
  <sheetData>
    <row r="1" spans="1:20" s="4" customFormat="1" ht="30" customHeight="1" x14ac:dyDescent="0.55000000000000004">
      <c r="A1" s="1" t="s">
        <v>40</v>
      </c>
      <c r="B1" s="1"/>
      <c r="C1" s="2"/>
      <c r="D1" s="2"/>
      <c r="E1" s="3"/>
      <c r="F1" s="266"/>
      <c r="G1" s="320" t="s">
        <v>41</v>
      </c>
      <c r="H1" s="320"/>
      <c r="I1" s="320"/>
      <c r="J1" s="320"/>
      <c r="K1" s="1" t="s">
        <v>40</v>
      </c>
      <c r="L1" s="1"/>
      <c r="M1" s="2"/>
      <c r="N1" s="2"/>
      <c r="O1" s="3"/>
      <c r="P1" s="266"/>
      <c r="Q1" s="320" t="s">
        <v>41</v>
      </c>
      <c r="R1" s="320"/>
      <c r="S1" s="320"/>
      <c r="T1" s="320"/>
    </row>
    <row r="2" spans="1:20" s="4" customFormat="1" ht="42" customHeight="1" x14ac:dyDescent="0.55000000000000004">
      <c r="A2" s="1" t="s">
        <v>42</v>
      </c>
      <c r="B2" s="1"/>
      <c r="C2" s="5"/>
      <c r="D2" s="5"/>
      <c r="E2" s="3"/>
      <c r="F2" s="266"/>
      <c r="G2" s="320"/>
      <c r="H2" s="320"/>
      <c r="I2" s="320"/>
      <c r="J2" s="320"/>
      <c r="K2" s="1" t="s">
        <v>42</v>
      </c>
      <c r="L2" s="1"/>
      <c r="M2" s="5"/>
      <c r="N2" s="5"/>
      <c r="O2" s="3"/>
      <c r="P2" s="266"/>
      <c r="Q2" s="320"/>
      <c r="R2" s="320"/>
      <c r="S2" s="320"/>
      <c r="T2" s="320"/>
    </row>
    <row r="3" spans="1:20" s="4" customFormat="1" ht="42" customHeight="1" x14ac:dyDescent="0.55000000000000004">
      <c r="A3" s="2" t="s">
        <v>44</v>
      </c>
      <c r="B3" s="2"/>
      <c r="C3" s="2"/>
      <c r="D3" s="2"/>
      <c r="E3" s="3"/>
      <c r="F3" s="266"/>
      <c r="G3" s="319" t="s">
        <v>43</v>
      </c>
      <c r="H3" s="319"/>
      <c r="I3" s="319"/>
      <c r="J3" s="319"/>
      <c r="K3" s="2" t="s">
        <v>44</v>
      </c>
      <c r="L3" s="2"/>
      <c r="M3" s="2"/>
      <c r="N3" s="2"/>
      <c r="O3" s="3"/>
      <c r="P3" s="266"/>
      <c r="Q3" s="319" t="s">
        <v>43</v>
      </c>
      <c r="R3" s="319"/>
      <c r="S3" s="319"/>
      <c r="T3" s="319"/>
    </row>
    <row r="4" spans="1:20" s="4" customFormat="1" ht="30" customHeight="1" x14ac:dyDescent="0.55000000000000004">
      <c r="A4" s="2" t="s">
        <v>45</v>
      </c>
      <c r="B4" s="2"/>
      <c r="C4" s="2"/>
      <c r="D4" s="2"/>
      <c r="E4" s="3"/>
      <c r="F4" s="266"/>
      <c r="G4" s="2" t="s">
        <v>45</v>
      </c>
      <c r="H4" s="2"/>
      <c r="I4" s="6"/>
      <c r="J4" s="6"/>
      <c r="K4" s="2" t="s">
        <v>45</v>
      </c>
      <c r="L4" s="2"/>
      <c r="M4" s="2"/>
      <c r="N4" s="2"/>
      <c r="O4" s="3"/>
      <c r="P4" s="266"/>
      <c r="Q4" s="2" t="s">
        <v>45</v>
      </c>
      <c r="R4" s="2"/>
      <c r="S4" s="6"/>
      <c r="T4" s="6"/>
    </row>
    <row r="5" spans="1:20" s="4" customFormat="1" ht="30" customHeight="1" x14ac:dyDescent="0.55000000000000004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 s="4" customFormat="1" ht="30" customHeight="1" x14ac:dyDescent="0.55000000000000004">
      <c r="A6" s="323" t="s">
        <v>46</v>
      </c>
      <c r="B6" s="323"/>
      <c r="C6" s="322" t="s">
        <v>47</v>
      </c>
      <c r="D6" s="322"/>
      <c r="E6" s="322"/>
      <c r="F6" s="322"/>
      <c r="G6" s="322"/>
      <c r="H6" s="322"/>
      <c r="I6" s="322"/>
      <c r="J6" s="322"/>
      <c r="K6" s="323" t="s">
        <v>46</v>
      </c>
      <c r="L6" s="323"/>
      <c r="M6" s="322" t="s">
        <v>47</v>
      </c>
      <c r="N6" s="322"/>
      <c r="O6" s="322"/>
      <c r="P6" s="322"/>
      <c r="Q6" s="322"/>
      <c r="R6" s="322"/>
      <c r="S6" s="322"/>
      <c r="T6" s="322"/>
    </row>
    <row r="7" spans="1:20" s="4" customFormat="1" ht="30" customHeight="1" x14ac:dyDescent="0.55000000000000004">
      <c r="A7" s="8"/>
      <c r="B7" s="8"/>
      <c r="C7" s="322" t="s">
        <v>48</v>
      </c>
      <c r="D7" s="322"/>
      <c r="E7" s="322"/>
      <c r="F7" s="322"/>
      <c r="G7" s="322"/>
      <c r="H7" s="322"/>
      <c r="I7" s="322"/>
      <c r="J7" s="322"/>
      <c r="K7" s="8"/>
      <c r="L7" s="8"/>
      <c r="M7" s="322" t="s">
        <v>48</v>
      </c>
      <c r="N7" s="322"/>
      <c r="O7" s="322"/>
      <c r="P7" s="322"/>
      <c r="Q7" s="322"/>
      <c r="R7" s="322"/>
      <c r="S7" s="322"/>
      <c r="T7" s="322"/>
    </row>
    <row r="8" spans="1:20" s="4" customFormat="1" ht="30" customHeight="1" x14ac:dyDescent="0.55000000000000004">
      <c r="A8" s="8"/>
      <c r="B8" s="8"/>
      <c r="C8" s="82"/>
      <c r="D8" s="82"/>
      <c r="E8" s="82"/>
      <c r="F8" s="82"/>
      <c r="G8" s="82"/>
      <c r="H8" s="82"/>
      <c r="I8" s="82"/>
      <c r="J8" s="82"/>
      <c r="K8" s="8"/>
      <c r="L8" s="8"/>
      <c r="M8" s="82"/>
      <c r="N8" s="82"/>
      <c r="O8" s="82"/>
      <c r="P8" s="82"/>
      <c r="Q8" s="82"/>
      <c r="R8" s="82"/>
      <c r="S8" s="82"/>
      <c r="T8" s="82"/>
    </row>
    <row r="9" spans="1:20" s="4" customFormat="1" ht="30" customHeight="1" x14ac:dyDescent="0.55000000000000004">
      <c r="A9" s="10" t="s">
        <v>49</v>
      </c>
      <c r="B9" s="10"/>
      <c r="C9" s="10"/>
      <c r="D9" s="10"/>
      <c r="E9" s="324" t="s">
        <v>50</v>
      </c>
      <c r="F9" s="324"/>
      <c r="G9" s="10"/>
      <c r="H9" s="10"/>
      <c r="I9" s="10"/>
      <c r="J9" s="10"/>
      <c r="K9" s="10" t="s">
        <v>49</v>
      </c>
      <c r="L9" s="10"/>
      <c r="M9" s="10"/>
      <c r="N9" s="10"/>
      <c r="O9" s="324" t="s">
        <v>50</v>
      </c>
      <c r="P9" s="324"/>
      <c r="Q9" s="10"/>
      <c r="R9" s="10"/>
      <c r="S9" s="10"/>
      <c r="T9" s="10"/>
    </row>
    <row r="10" spans="1:20" s="4" customFormat="1" ht="30" customHeight="1" thickBot="1" x14ac:dyDescent="0.6">
      <c r="A10" s="11"/>
      <c r="B10" s="11"/>
      <c r="C10" s="11"/>
      <c r="D10" s="11"/>
      <c r="E10" s="11"/>
      <c r="F10" s="11"/>
      <c r="G10" s="11"/>
      <c r="H10" s="11"/>
      <c r="I10" s="7"/>
      <c r="J10" s="7"/>
      <c r="K10" s="11"/>
      <c r="L10" s="11"/>
      <c r="M10" s="11"/>
      <c r="N10" s="11"/>
      <c r="O10" s="11"/>
      <c r="P10" s="11"/>
      <c r="Q10" s="11"/>
      <c r="R10" s="11"/>
      <c r="S10" s="7"/>
      <c r="T10" s="7"/>
    </row>
    <row r="11" spans="1:20" s="15" customFormat="1" ht="30" customHeight="1" thickBot="1" x14ac:dyDescent="0.5">
      <c r="A11" s="12" t="s">
        <v>28</v>
      </c>
      <c r="B11" s="321" t="s">
        <v>27</v>
      </c>
      <c r="C11" s="321"/>
      <c r="D11" s="321"/>
      <c r="E11" s="321"/>
      <c r="F11" s="321"/>
      <c r="G11" s="13" t="s">
        <v>26</v>
      </c>
      <c r="H11" s="13" t="s">
        <v>25</v>
      </c>
      <c r="I11" s="13" t="s">
        <v>24</v>
      </c>
      <c r="J11" s="14">
        <v>44664</v>
      </c>
      <c r="K11" s="12" t="s">
        <v>28</v>
      </c>
      <c r="L11" s="321" t="s">
        <v>27</v>
      </c>
      <c r="M11" s="321"/>
      <c r="N11" s="321"/>
      <c r="O11" s="321"/>
      <c r="P11" s="321"/>
      <c r="Q11" s="13" t="s">
        <v>26</v>
      </c>
      <c r="R11" s="13" t="s">
        <v>29</v>
      </c>
      <c r="S11" s="13" t="s">
        <v>24</v>
      </c>
      <c r="T11" s="14">
        <f>J11</f>
        <v>44664</v>
      </c>
    </row>
    <row r="12" spans="1:20" s="19" customFormat="1" ht="35.25" customHeight="1" thickBot="1" x14ac:dyDescent="0.3">
      <c r="A12" s="16" t="s">
        <v>23</v>
      </c>
      <c r="B12" s="17" t="s">
        <v>22</v>
      </c>
      <c r="C12" s="17" t="s">
        <v>51</v>
      </c>
      <c r="D12" s="17" t="s">
        <v>21</v>
      </c>
      <c r="E12" s="17" t="s">
        <v>20</v>
      </c>
      <c r="F12" s="17" t="s">
        <v>155</v>
      </c>
      <c r="G12" s="17" t="s">
        <v>19</v>
      </c>
      <c r="H12" s="17" t="s">
        <v>18</v>
      </c>
      <c r="I12" s="17" t="s">
        <v>17</v>
      </c>
      <c r="J12" s="18" t="s">
        <v>16</v>
      </c>
      <c r="K12" s="16" t="s">
        <v>23</v>
      </c>
      <c r="L12" s="17" t="s">
        <v>22</v>
      </c>
      <c r="M12" s="17" t="s">
        <v>51</v>
      </c>
      <c r="N12" s="17" t="s">
        <v>21</v>
      </c>
      <c r="O12" s="17" t="s">
        <v>20</v>
      </c>
      <c r="P12" s="17" t="s">
        <v>155</v>
      </c>
      <c r="Q12" s="17" t="s">
        <v>19</v>
      </c>
      <c r="R12" s="17" t="s">
        <v>18</v>
      </c>
      <c r="S12" s="17" t="s">
        <v>17</v>
      </c>
      <c r="T12" s="18" t="s">
        <v>16</v>
      </c>
    </row>
    <row r="13" spans="1:20" s="28" customFormat="1" ht="30" customHeight="1" x14ac:dyDescent="0.25">
      <c r="A13" s="20" t="s">
        <v>15</v>
      </c>
      <c r="B13" s="21" t="s">
        <v>38</v>
      </c>
      <c r="C13" s="22">
        <v>31</v>
      </c>
      <c r="D13" s="23" t="s">
        <v>76</v>
      </c>
      <c r="E13" s="24" t="s">
        <v>8</v>
      </c>
      <c r="F13" s="267">
        <f>42.12+20.08</f>
        <v>62.199999999999996</v>
      </c>
      <c r="G13" s="26">
        <v>10</v>
      </c>
      <c r="H13" s="26">
        <v>6.5</v>
      </c>
      <c r="I13" s="26">
        <v>40.9</v>
      </c>
      <c r="J13" s="53">
        <v>262</v>
      </c>
      <c r="K13" s="20" t="s">
        <v>15</v>
      </c>
      <c r="L13" s="21" t="s">
        <v>38</v>
      </c>
      <c r="M13" s="22">
        <v>72</v>
      </c>
      <c r="N13" s="23" t="s">
        <v>77</v>
      </c>
      <c r="O13" s="24" t="s">
        <v>78</v>
      </c>
      <c r="P13" s="267">
        <f>42.12+30+13.48</f>
        <v>85.600000000000009</v>
      </c>
      <c r="Q13" s="26">
        <f>10/20*22</f>
        <v>11</v>
      </c>
      <c r="R13" s="26">
        <f>6.5/20*22</f>
        <v>7.15</v>
      </c>
      <c r="S13" s="26">
        <f>40.9/20*22</f>
        <v>44.989999999999995</v>
      </c>
      <c r="T13" s="268">
        <f>262/20*22</f>
        <v>288.2</v>
      </c>
    </row>
    <row r="14" spans="1:20" s="28" customFormat="1" ht="33.75" customHeight="1" x14ac:dyDescent="0.25">
      <c r="A14" s="29"/>
      <c r="B14" s="37" t="s">
        <v>1</v>
      </c>
      <c r="C14" s="38">
        <f>C13</f>
        <v>31</v>
      </c>
      <c r="D14" s="32" t="s">
        <v>146</v>
      </c>
      <c r="E14" s="33" t="s">
        <v>8</v>
      </c>
      <c r="F14" s="269">
        <v>25</v>
      </c>
      <c r="G14" s="35">
        <v>4.8</v>
      </c>
      <c r="H14" s="35">
        <v>3.6</v>
      </c>
      <c r="I14" s="35">
        <v>71.2</v>
      </c>
      <c r="J14" s="40">
        <v>337.8</v>
      </c>
      <c r="K14" s="29"/>
      <c r="L14" s="37" t="s">
        <v>1</v>
      </c>
      <c r="M14" s="38">
        <f>M13</f>
        <v>72</v>
      </c>
      <c r="N14" s="32" t="s">
        <v>146</v>
      </c>
      <c r="O14" s="33" t="s">
        <v>8</v>
      </c>
      <c r="P14" s="269">
        <v>25</v>
      </c>
      <c r="Q14" s="35">
        <v>4.8</v>
      </c>
      <c r="R14" s="35">
        <v>3.6</v>
      </c>
      <c r="S14" s="35">
        <v>71.2</v>
      </c>
      <c r="T14" s="270">
        <v>337.8</v>
      </c>
    </row>
    <row r="15" spans="1:20" s="28" customFormat="1" ht="33.75" customHeight="1" x14ac:dyDescent="0.25">
      <c r="A15" s="29"/>
      <c r="B15" s="37" t="s">
        <v>14</v>
      </c>
      <c r="C15" s="38">
        <f t="shared" ref="C15" si="0">C14</f>
        <v>31</v>
      </c>
      <c r="D15" s="32" t="s">
        <v>13</v>
      </c>
      <c r="E15" s="33" t="s">
        <v>12</v>
      </c>
      <c r="F15" s="269">
        <v>8</v>
      </c>
      <c r="G15" s="34">
        <v>2.2999999999999998</v>
      </c>
      <c r="H15" s="34">
        <v>0.9</v>
      </c>
      <c r="I15" s="35">
        <v>14.9</v>
      </c>
      <c r="J15" s="36">
        <v>77</v>
      </c>
      <c r="K15" s="29"/>
      <c r="L15" s="37" t="s">
        <v>14</v>
      </c>
      <c r="M15" s="38">
        <f t="shared" ref="M15" si="1">M14</f>
        <v>72</v>
      </c>
      <c r="N15" s="32" t="s">
        <v>13</v>
      </c>
      <c r="O15" s="33" t="s">
        <v>12</v>
      </c>
      <c r="P15" s="269">
        <v>8</v>
      </c>
      <c r="Q15" s="34">
        <v>2.2999999999999998</v>
      </c>
      <c r="R15" s="34">
        <v>0.9</v>
      </c>
      <c r="S15" s="35">
        <v>14.9</v>
      </c>
      <c r="T15" s="271">
        <v>77</v>
      </c>
    </row>
    <row r="16" spans="1:20" s="28" customFormat="1" ht="33.75" customHeight="1" x14ac:dyDescent="0.4">
      <c r="A16" s="29"/>
      <c r="B16" s="30" t="s">
        <v>79</v>
      </c>
      <c r="C16" s="31">
        <f>C15</f>
        <v>31</v>
      </c>
      <c r="D16" s="32" t="s">
        <v>80</v>
      </c>
      <c r="E16" s="33" t="s">
        <v>81</v>
      </c>
      <c r="F16" s="269">
        <v>10</v>
      </c>
      <c r="G16" s="34">
        <v>5.0000000000000001E-3</v>
      </c>
      <c r="H16" s="34">
        <v>8.1999999999999993</v>
      </c>
      <c r="I16" s="35">
        <v>0.1</v>
      </c>
      <c r="J16" s="36">
        <v>75</v>
      </c>
      <c r="K16" s="29"/>
      <c r="L16" s="30" t="s">
        <v>79</v>
      </c>
      <c r="M16" s="31">
        <f>M15</f>
        <v>72</v>
      </c>
      <c r="N16" s="32" t="s">
        <v>80</v>
      </c>
      <c r="O16" s="33" t="s">
        <v>81</v>
      </c>
      <c r="P16" s="269">
        <v>10</v>
      </c>
      <c r="Q16" s="34">
        <v>5.0000000000000001E-3</v>
      </c>
      <c r="R16" s="34">
        <v>8.1999999999999993</v>
      </c>
      <c r="S16" s="35">
        <v>0.1</v>
      </c>
      <c r="T16" s="271">
        <v>75</v>
      </c>
    </row>
    <row r="17" spans="1:20" s="28" customFormat="1" ht="33.75" customHeight="1" x14ac:dyDescent="0.25">
      <c r="A17" s="29"/>
      <c r="B17" s="37" t="s">
        <v>83</v>
      </c>
      <c r="C17" s="38">
        <f>C16</f>
        <v>31</v>
      </c>
      <c r="D17" s="32" t="s">
        <v>84</v>
      </c>
      <c r="E17" s="33" t="s">
        <v>81</v>
      </c>
      <c r="F17" s="269">
        <v>10</v>
      </c>
      <c r="G17" s="34">
        <v>2.2999999999999998</v>
      </c>
      <c r="H17" s="34">
        <v>2.9</v>
      </c>
      <c r="I17" s="35">
        <v>0</v>
      </c>
      <c r="J17" s="36">
        <v>35</v>
      </c>
      <c r="K17" s="29"/>
      <c r="L17" s="37" t="s">
        <v>83</v>
      </c>
      <c r="M17" s="38">
        <f>M16</f>
        <v>72</v>
      </c>
      <c r="N17" s="32" t="s">
        <v>84</v>
      </c>
      <c r="O17" s="33" t="s">
        <v>81</v>
      </c>
      <c r="P17" s="269">
        <v>10</v>
      </c>
      <c r="Q17" s="34">
        <v>2.2999999999999998</v>
      </c>
      <c r="R17" s="34">
        <v>2.9</v>
      </c>
      <c r="S17" s="35">
        <v>0</v>
      </c>
      <c r="T17" s="271">
        <v>35</v>
      </c>
    </row>
    <row r="18" spans="1:20" s="28" customFormat="1" ht="33.75" customHeight="1" x14ac:dyDescent="0.4">
      <c r="A18" s="29"/>
      <c r="B18" s="30"/>
      <c r="C18" s="31"/>
      <c r="D18" s="32"/>
      <c r="E18" s="33"/>
      <c r="F18" s="269"/>
      <c r="G18" s="35"/>
      <c r="H18" s="35"/>
      <c r="I18" s="35"/>
      <c r="J18" s="40"/>
      <c r="K18" s="39"/>
      <c r="L18" s="30"/>
      <c r="M18" s="31"/>
      <c r="N18" s="32"/>
      <c r="O18" s="33"/>
      <c r="P18" s="269"/>
      <c r="Q18" s="35"/>
      <c r="R18" s="35"/>
      <c r="S18" s="35"/>
      <c r="T18" s="270"/>
    </row>
    <row r="19" spans="1:20" s="28" customFormat="1" ht="36" customHeight="1" thickBot="1" x14ac:dyDescent="0.3">
      <c r="A19" s="41"/>
      <c r="B19" s="42"/>
      <c r="C19" s="43"/>
      <c r="D19" s="44"/>
      <c r="E19" s="45"/>
      <c r="F19" s="272"/>
      <c r="G19" s="46"/>
      <c r="H19" s="46"/>
      <c r="I19" s="46"/>
      <c r="J19" s="47"/>
      <c r="K19" s="48"/>
      <c r="L19" s="42"/>
      <c r="M19" s="43"/>
      <c r="N19" s="44"/>
      <c r="O19" s="45"/>
      <c r="P19" s="272"/>
      <c r="Q19" s="46"/>
      <c r="R19" s="46"/>
      <c r="S19" s="46"/>
      <c r="T19" s="273"/>
    </row>
    <row r="20" spans="1:20" s="28" customFormat="1" ht="36" customHeight="1" thickBot="1" x14ac:dyDescent="0.3">
      <c r="A20" s="316" t="s">
        <v>0</v>
      </c>
      <c r="B20" s="317"/>
      <c r="C20" s="318"/>
      <c r="D20" s="49"/>
      <c r="E20" s="50"/>
      <c r="F20" s="274">
        <f>SUM(F13:F19)</f>
        <v>115.19999999999999</v>
      </c>
      <c r="G20" s="51">
        <f>SUM(G13:G19)</f>
        <v>19.405000000000001</v>
      </c>
      <c r="H20" s="51">
        <f t="shared" ref="H20:J20" si="2">SUM(H13:H19)</f>
        <v>22.099999999999998</v>
      </c>
      <c r="I20" s="51">
        <f t="shared" si="2"/>
        <v>127.1</v>
      </c>
      <c r="J20" s="52">
        <f t="shared" si="2"/>
        <v>786.8</v>
      </c>
      <c r="K20" s="316" t="s">
        <v>0</v>
      </c>
      <c r="L20" s="317"/>
      <c r="M20" s="318"/>
      <c r="N20" s="49"/>
      <c r="O20" s="50"/>
      <c r="P20" s="274">
        <f>SUM(P13:P19)</f>
        <v>138.60000000000002</v>
      </c>
      <c r="Q20" s="51">
        <f>SUM(Q13:Q19)</f>
        <v>20.405000000000001</v>
      </c>
      <c r="R20" s="51">
        <f t="shared" ref="R20:T20" si="3">SUM(R13:R19)</f>
        <v>22.75</v>
      </c>
      <c r="S20" s="51">
        <f t="shared" si="3"/>
        <v>131.19</v>
      </c>
      <c r="T20" s="52">
        <f t="shared" si="3"/>
        <v>813</v>
      </c>
    </row>
    <row r="21" spans="1:20" s="28" customFormat="1" ht="66" customHeight="1" x14ac:dyDescent="0.25">
      <c r="A21" s="54" t="s">
        <v>11</v>
      </c>
      <c r="B21" s="21" t="s">
        <v>30</v>
      </c>
      <c r="C21" s="22">
        <v>31</v>
      </c>
      <c r="D21" s="23" t="s">
        <v>123</v>
      </c>
      <c r="E21" s="24" t="s">
        <v>37</v>
      </c>
      <c r="F21" s="267">
        <v>20</v>
      </c>
      <c r="G21" s="25">
        <f>0.5/6*8</f>
        <v>0.66666666666666663</v>
      </c>
      <c r="H21" s="25">
        <f>7/6*8</f>
        <v>9.3333333333333339</v>
      </c>
      <c r="I21" s="26">
        <f>1.9/6*8</f>
        <v>2.5333333333333332</v>
      </c>
      <c r="J21" s="27">
        <f>73/6*8</f>
        <v>97.333333333333329</v>
      </c>
      <c r="K21" s="54" t="s">
        <v>11</v>
      </c>
      <c r="L21" s="21" t="s">
        <v>30</v>
      </c>
      <c r="M21" s="22">
        <v>79</v>
      </c>
      <c r="N21" s="23" t="s">
        <v>123</v>
      </c>
      <c r="O21" s="24" t="s">
        <v>37</v>
      </c>
      <c r="P21" s="267">
        <v>20</v>
      </c>
      <c r="Q21" s="25">
        <f>0.5/6*8</f>
        <v>0.66666666666666663</v>
      </c>
      <c r="R21" s="25">
        <f>7/6*8</f>
        <v>9.3333333333333339</v>
      </c>
      <c r="S21" s="26">
        <f>1.9/6*8</f>
        <v>2.5333333333333332</v>
      </c>
      <c r="T21" s="27">
        <f>73/6*8</f>
        <v>97.333333333333329</v>
      </c>
    </row>
    <row r="22" spans="1:20" s="55" customFormat="1" ht="67.5" customHeight="1" x14ac:dyDescent="0.25">
      <c r="A22" s="39"/>
      <c r="B22" s="37" t="s">
        <v>10</v>
      </c>
      <c r="C22" s="38">
        <f t="shared" ref="C22:C26" si="4">C21</f>
        <v>31</v>
      </c>
      <c r="D22" s="32" t="s">
        <v>150</v>
      </c>
      <c r="E22" s="33" t="s">
        <v>36</v>
      </c>
      <c r="F22" s="269">
        <v>80</v>
      </c>
      <c r="G22" s="34">
        <v>14.6</v>
      </c>
      <c r="H22" s="34">
        <v>14.4</v>
      </c>
      <c r="I22" s="35">
        <v>17</v>
      </c>
      <c r="J22" s="36">
        <v>256</v>
      </c>
      <c r="K22" s="39"/>
      <c r="L22" s="37" t="s">
        <v>10</v>
      </c>
      <c r="M22" s="38">
        <f t="shared" ref="M22:M26" si="5">M21</f>
        <v>79</v>
      </c>
      <c r="N22" s="32" t="s">
        <v>150</v>
      </c>
      <c r="O22" s="33" t="s">
        <v>36</v>
      </c>
      <c r="P22" s="269">
        <v>80</v>
      </c>
      <c r="Q22" s="34">
        <v>14.6</v>
      </c>
      <c r="R22" s="34">
        <v>14.4</v>
      </c>
      <c r="S22" s="35">
        <v>17</v>
      </c>
      <c r="T22" s="36">
        <v>256</v>
      </c>
    </row>
    <row r="23" spans="1:20" s="58" customFormat="1" ht="30" customHeight="1" x14ac:dyDescent="0.4">
      <c r="A23" s="57"/>
      <c r="B23" s="30" t="s">
        <v>9</v>
      </c>
      <c r="C23" s="31">
        <f t="shared" si="4"/>
        <v>31</v>
      </c>
      <c r="D23" s="32" t="s">
        <v>151</v>
      </c>
      <c r="E23" s="33" t="s">
        <v>8</v>
      </c>
      <c r="F23" s="269">
        <f>77.1+9</f>
        <v>86.1</v>
      </c>
      <c r="G23" s="34">
        <v>25.2</v>
      </c>
      <c r="H23" s="34">
        <v>7.5</v>
      </c>
      <c r="I23" s="35">
        <v>16.7</v>
      </c>
      <c r="J23" s="36">
        <v>235</v>
      </c>
      <c r="K23" s="56"/>
      <c r="L23" s="30" t="s">
        <v>9</v>
      </c>
      <c r="M23" s="31">
        <f t="shared" si="5"/>
        <v>79</v>
      </c>
      <c r="N23" s="32" t="s">
        <v>151</v>
      </c>
      <c r="O23" s="33" t="s">
        <v>36</v>
      </c>
      <c r="P23" s="269">
        <f>89.7+9</f>
        <v>98.7</v>
      </c>
      <c r="Q23" s="34">
        <f>25.2/20*25</f>
        <v>31.5</v>
      </c>
      <c r="R23" s="34">
        <f>7.5/20*25</f>
        <v>9.375</v>
      </c>
      <c r="S23" s="35">
        <f>16.7/20*25</f>
        <v>20.875</v>
      </c>
      <c r="T23" s="36">
        <f>235/20*25</f>
        <v>293.75</v>
      </c>
    </row>
    <row r="24" spans="1:20" s="58" customFormat="1" ht="30" customHeight="1" x14ac:dyDescent="0.4">
      <c r="A24" s="57"/>
      <c r="B24" s="37" t="s">
        <v>1</v>
      </c>
      <c r="C24" s="38">
        <f t="shared" si="4"/>
        <v>31</v>
      </c>
      <c r="D24" s="32" t="s">
        <v>94</v>
      </c>
      <c r="E24" s="33" t="s">
        <v>8</v>
      </c>
      <c r="F24" s="269">
        <v>20</v>
      </c>
      <c r="G24" s="34">
        <v>0</v>
      </c>
      <c r="H24" s="34">
        <v>0</v>
      </c>
      <c r="I24" s="35">
        <v>10</v>
      </c>
      <c r="J24" s="36">
        <v>40</v>
      </c>
      <c r="K24" s="57"/>
      <c r="L24" s="37" t="s">
        <v>1</v>
      </c>
      <c r="M24" s="38">
        <f t="shared" si="5"/>
        <v>79</v>
      </c>
      <c r="N24" s="32" t="s">
        <v>94</v>
      </c>
      <c r="O24" s="33" t="s">
        <v>8</v>
      </c>
      <c r="P24" s="269">
        <v>20</v>
      </c>
      <c r="Q24" s="34">
        <v>0</v>
      </c>
      <c r="R24" s="34">
        <v>0</v>
      </c>
      <c r="S24" s="35">
        <v>10</v>
      </c>
      <c r="T24" s="36">
        <v>40</v>
      </c>
    </row>
    <row r="25" spans="1:20" s="28" customFormat="1" ht="33.75" customHeight="1" x14ac:dyDescent="0.25">
      <c r="A25" s="39"/>
      <c r="B25" s="37" t="s">
        <v>7</v>
      </c>
      <c r="C25" s="38">
        <f t="shared" si="4"/>
        <v>31</v>
      </c>
      <c r="D25" s="32" t="s">
        <v>6</v>
      </c>
      <c r="E25" s="33" t="s">
        <v>3</v>
      </c>
      <c r="F25" s="269">
        <v>2.5</v>
      </c>
      <c r="G25" s="34">
        <v>2.5</v>
      </c>
      <c r="H25" s="34">
        <v>0.4</v>
      </c>
      <c r="I25" s="35">
        <v>10.8</v>
      </c>
      <c r="J25" s="36">
        <v>57</v>
      </c>
      <c r="K25" s="39"/>
      <c r="L25" s="37" t="s">
        <v>7</v>
      </c>
      <c r="M25" s="38">
        <f t="shared" si="5"/>
        <v>79</v>
      </c>
      <c r="N25" s="32" t="s">
        <v>6</v>
      </c>
      <c r="O25" s="33" t="s">
        <v>3</v>
      </c>
      <c r="P25" s="269">
        <v>2.5</v>
      </c>
      <c r="Q25" s="34">
        <v>2.5</v>
      </c>
      <c r="R25" s="34">
        <v>0.4</v>
      </c>
      <c r="S25" s="35">
        <v>10.8</v>
      </c>
      <c r="T25" s="36">
        <v>57</v>
      </c>
    </row>
    <row r="26" spans="1:20" s="59" customFormat="1" ht="33.75" customHeight="1" x14ac:dyDescent="0.25">
      <c r="A26" s="39"/>
      <c r="B26" s="37" t="s">
        <v>5</v>
      </c>
      <c r="C26" s="38">
        <f t="shared" si="4"/>
        <v>31</v>
      </c>
      <c r="D26" s="32" t="s">
        <v>4</v>
      </c>
      <c r="E26" s="33" t="s">
        <v>3</v>
      </c>
      <c r="F26" s="269">
        <v>2</v>
      </c>
      <c r="G26" s="34">
        <v>2.5</v>
      </c>
      <c r="H26" s="34">
        <v>0.8</v>
      </c>
      <c r="I26" s="35">
        <v>14.1</v>
      </c>
      <c r="J26" s="36">
        <v>74</v>
      </c>
      <c r="K26" s="39"/>
      <c r="L26" s="37" t="s">
        <v>5</v>
      </c>
      <c r="M26" s="38">
        <f t="shared" si="5"/>
        <v>79</v>
      </c>
      <c r="N26" s="32" t="s">
        <v>4</v>
      </c>
      <c r="O26" s="33" t="s">
        <v>3</v>
      </c>
      <c r="P26" s="269">
        <v>2</v>
      </c>
      <c r="Q26" s="34">
        <v>2.5</v>
      </c>
      <c r="R26" s="34">
        <v>0.8</v>
      </c>
      <c r="S26" s="35">
        <v>14.1</v>
      </c>
      <c r="T26" s="36">
        <v>74</v>
      </c>
    </row>
    <row r="27" spans="1:20" s="59" customFormat="1" ht="33.75" customHeight="1" x14ac:dyDescent="0.25">
      <c r="A27" s="39"/>
      <c r="B27" s="37"/>
      <c r="C27" s="38"/>
      <c r="D27" s="32"/>
      <c r="E27" s="33"/>
      <c r="F27" s="269"/>
      <c r="G27" s="34"/>
      <c r="H27" s="34"/>
      <c r="I27" s="35"/>
      <c r="J27" s="36"/>
      <c r="K27" s="39"/>
      <c r="L27" s="37"/>
      <c r="M27" s="38"/>
      <c r="N27" s="32"/>
      <c r="O27" s="33"/>
      <c r="P27" s="269"/>
      <c r="Q27" s="34"/>
      <c r="R27" s="34"/>
      <c r="S27" s="35"/>
      <c r="T27" s="36"/>
    </row>
    <row r="28" spans="1:20" s="28" customFormat="1" ht="30" customHeight="1" thickBot="1" x14ac:dyDescent="0.3">
      <c r="A28" s="48"/>
      <c r="B28" s="42"/>
      <c r="C28" s="43"/>
      <c r="D28" s="44"/>
      <c r="E28" s="45"/>
      <c r="F28" s="272"/>
      <c r="G28" s="46"/>
      <c r="H28" s="46"/>
      <c r="I28" s="60"/>
      <c r="J28" s="47"/>
      <c r="K28" s="48"/>
      <c r="L28" s="42"/>
      <c r="M28" s="43"/>
      <c r="N28" s="44"/>
      <c r="O28" s="45"/>
      <c r="P28" s="272"/>
      <c r="Q28" s="46"/>
      <c r="R28" s="46"/>
      <c r="S28" s="60"/>
      <c r="T28" s="47"/>
    </row>
    <row r="29" spans="1:20" s="28" customFormat="1" ht="30" customHeight="1" thickBot="1" x14ac:dyDescent="0.3">
      <c r="A29" s="310" t="s">
        <v>0</v>
      </c>
      <c r="B29" s="311"/>
      <c r="C29" s="312"/>
      <c r="D29" s="61"/>
      <c r="E29" s="62"/>
      <c r="F29" s="275">
        <f>SUM(F21:F28)</f>
        <v>210.6</v>
      </c>
      <c r="G29" s="63">
        <f>SUM(G21:G28)</f>
        <v>45.466666666666669</v>
      </c>
      <c r="H29" s="63">
        <f>SUM(H21:H28)</f>
        <v>32.43333333333333</v>
      </c>
      <c r="I29" s="63">
        <f>SUM(I21:I28)</f>
        <v>71.133333333333326</v>
      </c>
      <c r="J29" s="64">
        <f>SUM(J21:J28)</f>
        <v>759.33333333333326</v>
      </c>
      <c r="K29" s="310" t="s">
        <v>0</v>
      </c>
      <c r="L29" s="311"/>
      <c r="M29" s="312"/>
      <c r="N29" s="61"/>
      <c r="O29" s="62"/>
      <c r="P29" s="275">
        <f>SUM(P21:P28)</f>
        <v>223.2</v>
      </c>
      <c r="Q29" s="63">
        <f>SUM(Q21:Q28)</f>
        <v>51.766666666666666</v>
      </c>
      <c r="R29" s="63">
        <f>SUM(R21:R28)</f>
        <v>34.30833333333333</v>
      </c>
      <c r="S29" s="63">
        <f>SUM(S21:S28)</f>
        <v>75.308333333333323</v>
      </c>
      <c r="T29" s="64">
        <f>SUM(T21:T28)</f>
        <v>818.08333333333326</v>
      </c>
    </row>
    <row r="30" spans="1:20" s="28" customFormat="1" ht="30" customHeight="1" x14ac:dyDescent="0.4">
      <c r="A30" s="20" t="s">
        <v>2</v>
      </c>
      <c r="B30" s="276" t="s">
        <v>1</v>
      </c>
      <c r="C30" s="277">
        <v>30</v>
      </c>
      <c r="D30" s="23" t="s">
        <v>39</v>
      </c>
      <c r="E30" s="24" t="s">
        <v>8</v>
      </c>
      <c r="F30" s="267">
        <v>37.5</v>
      </c>
      <c r="G30" s="25">
        <v>0.6</v>
      </c>
      <c r="H30" s="25"/>
      <c r="I30" s="26">
        <v>33</v>
      </c>
      <c r="J30" s="27">
        <v>136</v>
      </c>
      <c r="K30" s="20" t="s">
        <v>2</v>
      </c>
      <c r="L30" s="276" t="s">
        <v>1</v>
      </c>
      <c r="M30" s="277">
        <v>8</v>
      </c>
      <c r="N30" s="23" t="s">
        <v>39</v>
      </c>
      <c r="O30" s="24" t="s">
        <v>8</v>
      </c>
      <c r="P30" s="267">
        <v>37.5</v>
      </c>
      <c r="Q30" s="25">
        <v>0.6</v>
      </c>
      <c r="R30" s="25"/>
      <c r="S30" s="26">
        <v>33</v>
      </c>
      <c r="T30" s="27">
        <v>136</v>
      </c>
    </row>
    <row r="31" spans="1:20" s="58" customFormat="1" ht="30" customHeight="1" x14ac:dyDescent="0.4">
      <c r="A31" s="56"/>
      <c r="B31" s="30" t="s">
        <v>97</v>
      </c>
      <c r="C31" s="31">
        <f>C30</f>
        <v>30</v>
      </c>
      <c r="D31" s="32" t="s">
        <v>153</v>
      </c>
      <c r="E31" s="33" t="s">
        <v>33</v>
      </c>
      <c r="F31" s="269">
        <f>59.7-25</f>
        <v>34.700000000000003</v>
      </c>
      <c r="G31" s="34">
        <f>11.3/8*7</f>
        <v>9.8875000000000011</v>
      </c>
      <c r="H31" s="34">
        <f>12.2/8*7</f>
        <v>10.674999999999999</v>
      </c>
      <c r="I31" s="34">
        <f>40.9/8*7</f>
        <v>35.787500000000001</v>
      </c>
      <c r="J31" s="36">
        <f>315.6/8*7</f>
        <v>276.15000000000003</v>
      </c>
      <c r="K31" s="56"/>
      <c r="L31" s="30" t="s">
        <v>97</v>
      </c>
      <c r="M31" s="31">
        <f>M30</f>
        <v>8</v>
      </c>
      <c r="N31" s="32" t="s">
        <v>153</v>
      </c>
      <c r="O31" s="33" t="s">
        <v>34</v>
      </c>
      <c r="P31" s="269">
        <f>68.7-25</f>
        <v>43.7</v>
      </c>
      <c r="Q31" s="34">
        <f>11.3/8*9</f>
        <v>12.7125</v>
      </c>
      <c r="R31" s="34">
        <f>12.2/8*9</f>
        <v>13.725</v>
      </c>
      <c r="S31" s="34">
        <f>40.9/8*9</f>
        <v>46.012499999999996</v>
      </c>
      <c r="T31" s="36">
        <f>315.6/8*9</f>
        <v>355.05</v>
      </c>
    </row>
    <row r="32" spans="1:20" s="28" customFormat="1" ht="30" customHeight="1" thickBot="1" x14ac:dyDescent="0.3">
      <c r="A32" s="41"/>
      <c r="B32" s="42" t="s">
        <v>58</v>
      </c>
      <c r="C32" s="43">
        <f>C31</f>
        <v>30</v>
      </c>
      <c r="D32" s="44" t="s">
        <v>122</v>
      </c>
      <c r="E32" s="33" t="s">
        <v>64</v>
      </c>
      <c r="F32" s="272">
        <v>25</v>
      </c>
      <c r="G32" s="46">
        <v>0.4</v>
      </c>
      <c r="H32" s="46">
        <v>0.4</v>
      </c>
      <c r="I32" s="60">
        <v>9.8000000000000007</v>
      </c>
      <c r="J32" s="47">
        <v>44</v>
      </c>
      <c r="K32" s="41"/>
      <c r="L32" s="42" t="s">
        <v>58</v>
      </c>
      <c r="M32" s="43">
        <f>M31</f>
        <v>8</v>
      </c>
      <c r="N32" s="44" t="s">
        <v>122</v>
      </c>
      <c r="O32" s="33" t="s">
        <v>64</v>
      </c>
      <c r="P32" s="272">
        <v>25</v>
      </c>
      <c r="Q32" s="46">
        <v>0.4</v>
      </c>
      <c r="R32" s="46">
        <v>0.4</v>
      </c>
      <c r="S32" s="60">
        <v>9.8000000000000007</v>
      </c>
      <c r="T32" s="47">
        <v>44</v>
      </c>
    </row>
    <row r="33" spans="1:20" s="28" customFormat="1" ht="30" customHeight="1" thickBot="1" x14ac:dyDescent="0.3">
      <c r="A33" s="310" t="s">
        <v>0</v>
      </c>
      <c r="B33" s="311"/>
      <c r="C33" s="312"/>
      <c r="D33" s="61"/>
      <c r="E33" s="62"/>
      <c r="F33" s="275">
        <f>SUM(F30:F32)</f>
        <v>97.2</v>
      </c>
      <c r="G33" s="63">
        <f>SUM(G30:G32)</f>
        <v>10.887500000000001</v>
      </c>
      <c r="H33" s="63">
        <f>SUM(H30:H32)</f>
        <v>11.074999999999999</v>
      </c>
      <c r="I33" s="63">
        <f>SUM(I30:I32)</f>
        <v>78.587499999999991</v>
      </c>
      <c r="J33" s="64">
        <f>SUM(J30:J32)</f>
        <v>456.15000000000003</v>
      </c>
      <c r="K33" s="310" t="s">
        <v>0</v>
      </c>
      <c r="L33" s="311"/>
      <c r="M33" s="312"/>
      <c r="N33" s="61"/>
      <c r="O33" s="62"/>
      <c r="P33" s="275">
        <f>SUM(P30:P32)</f>
        <v>106.2</v>
      </c>
      <c r="Q33" s="63">
        <f>SUM(Q30:Q32)</f>
        <v>13.7125</v>
      </c>
      <c r="R33" s="63">
        <f>SUM(R30:R32)</f>
        <v>14.125</v>
      </c>
      <c r="S33" s="63">
        <f>SUM(S30:S32)</f>
        <v>88.812499999999986</v>
      </c>
      <c r="T33" s="64">
        <f>SUM(T30:T32)</f>
        <v>535.04999999999995</v>
      </c>
    </row>
    <row r="34" spans="1:20" s="55" customFormat="1" ht="24.95" customHeight="1" x14ac:dyDescent="0.25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</row>
    <row r="35" spans="1:20" s="284" customFormat="1" ht="24.95" customHeight="1" x14ac:dyDescent="0.5">
      <c r="A35" s="278"/>
      <c r="B35" s="279"/>
      <c r="C35" s="279"/>
      <c r="D35" s="281" t="s">
        <v>71</v>
      </c>
      <c r="E35" s="221"/>
      <c r="F35" s="279" t="s">
        <v>156</v>
      </c>
      <c r="G35" s="282" t="s">
        <v>72</v>
      </c>
      <c r="H35" s="282"/>
      <c r="I35" s="283"/>
      <c r="J35" s="278"/>
      <c r="K35" s="278"/>
      <c r="L35" s="279"/>
      <c r="M35" s="279"/>
      <c r="N35" s="281" t="s">
        <v>71</v>
      </c>
      <c r="O35" s="221"/>
      <c r="P35" s="279" t="s">
        <v>156</v>
      </c>
      <c r="Q35" s="282" t="s">
        <v>72</v>
      </c>
      <c r="R35" s="282"/>
      <c r="S35" s="280"/>
      <c r="T35" s="278"/>
    </row>
    <row r="36" spans="1:20" s="286" customFormat="1" ht="24.95" customHeight="1" x14ac:dyDescent="0.5">
      <c r="A36" s="278"/>
      <c r="B36" s="279"/>
      <c r="C36" s="279"/>
      <c r="D36" s="281"/>
      <c r="E36" s="221"/>
      <c r="F36" s="279"/>
      <c r="G36" s="282"/>
      <c r="H36" s="282"/>
      <c r="I36" s="285"/>
      <c r="J36" s="279"/>
      <c r="K36" s="278"/>
      <c r="L36" s="279"/>
      <c r="M36" s="279"/>
      <c r="N36" s="281"/>
      <c r="O36" s="221"/>
      <c r="P36" s="279"/>
      <c r="Q36" s="282"/>
      <c r="R36" s="282"/>
      <c r="S36" s="285"/>
      <c r="T36" s="279"/>
    </row>
    <row r="37" spans="1:20" s="279" customFormat="1" ht="24.95" customHeight="1" x14ac:dyDescent="0.5">
      <c r="A37" s="278"/>
      <c r="D37" s="281" t="s">
        <v>73</v>
      </c>
      <c r="E37" s="221"/>
      <c r="F37" s="279" t="s">
        <v>156</v>
      </c>
      <c r="G37" s="287" t="s">
        <v>74</v>
      </c>
      <c r="H37" s="287"/>
      <c r="K37" s="278"/>
      <c r="N37" s="281" t="s">
        <v>73</v>
      </c>
      <c r="O37" s="221"/>
      <c r="P37" s="279" t="s">
        <v>156</v>
      </c>
      <c r="Q37" s="287" t="s">
        <v>74</v>
      </c>
      <c r="R37" s="287"/>
    </row>
  </sheetData>
  <mergeCells count="20">
    <mergeCell ref="A33:C33"/>
    <mergeCell ref="K33:M33"/>
    <mergeCell ref="A29:C29"/>
    <mergeCell ref="K29:M29"/>
    <mergeCell ref="A20:C20"/>
    <mergeCell ref="K20:M20"/>
    <mergeCell ref="B11:F11"/>
    <mergeCell ref="L11:P11"/>
    <mergeCell ref="E9:F9"/>
    <mergeCell ref="O9:P9"/>
    <mergeCell ref="C7:J7"/>
    <mergeCell ref="M7:T7"/>
    <mergeCell ref="G1:J2"/>
    <mergeCell ref="Q1:T2"/>
    <mergeCell ref="K6:L6"/>
    <mergeCell ref="M6:T6"/>
    <mergeCell ref="A6:B6"/>
    <mergeCell ref="C6:J6"/>
    <mergeCell ref="G3:J3"/>
    <mergeCell ref="Q3:T3"/>
  </mergeCells>
  <pageMargins left="0.7" right="0.7" top="0.75" bottom="0.75" header="0.3" footer="0.3"/>
  <pageSetup paperSize="9" scale="39" orientation="landscape" r:id="rId1"/>
  <colBreaks count="1" manualBreakCount="1">
    <brk id="10" max="38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view="pageBreakPreview" topLeftCell="A10" zoomScale="40" zoomScaleNormal="40" zoomScaleSheetLayoutView="40" workbookViewId="0">
      <selection activeCell="B52" sqref="B52"/>
    </sheetView>
  </sheetViews>
  <sheetFormatPr defaultRowHeight="23.25" x14ac:dyDescent="0.25"/>
  <cols>
    <col min="1" max="1" width="5.28515625" style="264" customWidth="1"/>
    <col min="2" max="2" width="90.28515625" style="265" customWidth="1"/>
    <col min="3" max="3" width="20" style="265" customWidth="1"/>
    <col min="4" max="4" width="11.7109375" style="265" customWidth="1"/>
    <col min="5" max="6" width="60.7109375" style="264" customWidth="1"/>
    <col min="7" max="7" width="5.7109375" style="265" customWidth="1"/>
    <col min="8" max="8" width="95.7109375" style="265" customWidth="1"/>
    <col min="9" max="9" width="18.5703125" style="265" customWidth="1"/>
    <col min="10" max="10" width="12" style="265" customWidth="1"/>
    <col min="11" max="11" width="60.7109375" style="264" customWidth="1"/>
    <col min="12" max="12" width="55" style="264" customWidth="1"/>
  </cols>
  <sheetData>
    <row r="1" spans="1:12" ht="33.75" customHeight="1" x14ac:dyDescent="0.25">
      <c r="A1" s="303" t="s">
        <v>40</v>
      </c>
      <c r="B1" s="303"/>
      <c r="C1" s="86"/>
      <c r="D1" s="86"/>
      <c r="E1" s="304" t="s">
        <v>41</v>
      </c>
      <c r="F1" s="304"/>
      <c r="G1" s="303" t="s">
        <v>40</v>
      </c>
      <c r="H1" s="303"/>
      <c r="I1" s="86"/>
      <c r="J1" s="86"/>
      <c r="K1" s="304" t="s">
        <v>41</v>
      </c>
      <c r="L1" s="304"/>
    </row>
    <row r="2" spans="1:12" ht="92.25" customHeight="1" x14ac:dyDescent="0.25">
      <c r="A2" s="305" t="s">
        <v>42</v>
      </c>
      <c r="B2" s="305"/>
      <c r="C2" s="86"/>
      <c r="D2" s="86"/>
      <c r="E2" s="304"/>
      <c r="F2" s="304"/>
      <c r="G2" s="305" t="s">
        <v>42</v>
      </c>
      <c r="H2" s="305"/>
      <c r="I2" s="86"/>
      <c r="J2" s="86"/>
      <c r="K2" s="304"/>
      <c r="L2" s="304"/>
    </row>
    <row r="3" spans="1:12" ht="33.75" customHeight="1" x14ac:dyDescent="0.25">
      <c r="A3" s="303" t="s">
        <v>139</v>
      </c>
      <c r="B3" s="303"/>
      <c r="C3" s="86"/>
      <c r="D3" s="86"/>
      <c r="E3" s="304" t="s">
        <v>75</v>
      </c>
      <c r="F3" s="304"/>
      <c r="G3" s="303" t="s">
        <v>139</v>
      </c>
      <c r="H3" s="303"/>
      <c r="I3" s="86"/>
      <c r="J3" s="86"/>
      <c r="K3" s="304" t="s">
        <v>75</v>
      </c>
      <c r="L3" s="304"/>
    </row>
    <row r="4" spans="1:12" ht="33" x14ac:dyDescent="0.25">
      <c r="A4" s="306" t="s">
        <v>45</v>
      </c>
      <c r="B4" s="306"/>
      <c r="C4" s="86"/>
      <c r="D4" s="86"/>
      <c r="E4" s="306" t="s">
        <v>45</v>
      </c>
      <c r="F4" s="306"/>
      <c r="G4" s="306" t="s">
        <v>45</v>
      </c>
      <c r="H4" s="306"/>
      <c r="I4" s="86"/>
      <c r="J4" s="86"/>
      <c r="K4" s="306" t="s">
        <v>45</v>
      </c>
      <c r="L4" s="306"/>
    </row>
    <row r="5" spans="1:12" ht="33.75" x14ac:dyDescent="0.25">
      <c r="A5" s="182"/>
      <c r="B5" s="182"/>
      <c r="C5" s="182"/>
      <c r="D5" s="182"/>
      <c r="E5" s="86"/>
      <c r="F5" s="86"/>
      <c r="G5" s="182"/>
      <c r="H5" s="182"/>
      <c r="I5" s="182"/>
      <c r="J5" s="182"/>
      <c r="K5" s="86"/>
      <c r="L5" s="86"/>
    </row>
    <row r="6" spans="1:12" ht="87.75" customHeight="1" x14ac:dyDescent="0.25">
      <c r="A6" s="308" t="s">
        <v>46</v>
      </c>
      <c r="B6" s="308"/>
      <c r="C6" s="309" t="s">
        <v>47</v>
      </c>
      <c r="D6" s="309"/>
      <c r="E6" s="309"/>
      <c r="F6" s="309"/>
      <c r="G6" s="308" t="s">
        <v>46</v>
      </c>
      <c r="H6" s="308"/>
      <c r="I6" s="309" t="s">
        <v>47</v>
      </c>
      <c r="J6" s="309"/>
      <c r="K6" s="309"/>
      <c r="L6" s="309"/>
    </row>
    <row r="7" spans="1:12" ht="33" customHeight="1" x14ac:dyDescent="0.25">
      <c r="A7" s="183"/>
      <c r="B7" s="183"/>
      <c r="C7" s="309" t="s">
        <v>48</v>
      </c>
      <c r="D7" s="309"/>
      <c r="E7" s="309"/>
      <c r="F7" s="309"/>
      <c r="G7" s="183"/>
      <c r="H7" s="183"/>
      <c r="I7" s="309" t="s">
        <v>48</v>
      </c>
      <c r="J7" s="309"/>
      <c r="K7" s="309"/>
      <c r="L7" s="309"/>
    </row>
    <row r="8" spans="1:12" ht="33" x14ac:dyDescent="0.25">
      <c r="A8" s="183"/>
      <c r="B8" s="183"/>
      <c r="C8" s="184"/>
      <c r="D8" s="184"/>
      <c r="E8" s="184"/>
      <c r="F8" s="184"/>
      <c r="G8" s="183"/>
      <c r="H8" s="183"/>
      <c r="I8" s="184"/>
      <c r="J8" s="184"/>
      <c r="K8" s="184"/>
      <c r="L8" s="184"/>
    </row>
    <row r="9" spans="1:12" ht="44.25" customHeight="1" x14ac:dyDescent="0.25">
      <c r="A9" s="185" t="s">
        <v>49</v>
      </c>
      <c r="B9" s="185"/>
      <c r="C9" s="307" t="s">
        <v>140</v>
      </c>
      <c r="D9" s="307"/>
      <c r="E9" s="307"/>
      <c r="F9" s="185"/>
      <c r="G9" s="185" t="s">
        <v>49</v>
      </c>
      <c r="H9" s="185"/>
      <c r="I9" s="307" t="s">
        <v>141</v>
      </c>
      <c r="J9" s="307"/>
      <c r="K9" s="307"/>
      <c r="L9" s="185"/>
    </row>
    <row r="10" spans="1:12" ht="28.5" thickBot="1" x14ac:dyDescent="0.3">
      <c r="A10" s="75"/>
      <c r="B10" s="186"/>
      <c r="C10" s="187"/>
      <c r="D10" s="187"/>
      <c r="E10" s="188"/>
      <c r="F10" s="75"/>
      <c r="G10" s="75"/>
      <c r="H10" s="186"/>
      <c r="I10" s="189"/>
      <c r="J10" s="189"/>
      <c r="K10" s="188"/>
      <c r="L10" s="75"/>
    </row>
    <row r="11" spans="1:12" ht="81.75" customHeight="1" thickBot="1" x14ac:dyDescent="0.3">
      <c r="A11" s="190"/>
      <c r="B11" s="191"/>
      <c r="C11" s="192" t="s">
        <v>142</v>
      </c>
      <c r="D11" s="192"/>
      <c r="E11" s="193" t="s">
        <v>143</v>
      </c>
      <c r="F11" s="194">
        <v>44664</v>
      </c>
      <c r="G11" s="195"/>
      <c r="H11" s="191"/>
      <c r="I11" s="192" t="str">
        <f>C11</f>
        <v>Выход, гр</v>
      </c>
      <c r="J11" s="192"/>
      <c r="K11" s="193" t="str">
        <f>E11</f>
        <v>Цена Продажная</v>
      </c>
      <c r="L11" s="196">
        <f>F11</f>
        <v>44664</v>
      </c>
    </row>
    <row r="12" spans="1:12" ht="33" customHeight="1" x14ac:dyDescent="0.25">
      <c r="A12" s="197"/>
      <c r="B12" s="198"/>
      <c r="C12" s="199"/>
      <c r="D12" s="198"/>
      <c r="E12" s="200"/>
      <c r="F12" s="201"/>
      <c r="G12" s="202"/>
      <c r="H12" s="203"/>
      <c r="I12" s="204"/>
      <c r="J12" s="203"/>
      <c r="K12" s="205"/>
      <c r="L12" s="206"/>
    </row>
    <row r="13" spans="1:12" ht="30.75" x14ac:dyDescent="0.25">
      <c r="A13" s="207"/>
      <c r="B13" s="208" t="s">
        <v>144</v>
      </c>
      <c r="C13" s="208">
        <v>31</v>
      </c>
      <c r="D13" s="209" t="s">
        <v>145</v>
      </c>
      <c r="E13" s="210"/>
      <c r="F13" s="211"/>
      <c r="G13" s="212"/>
      <c r="H13" s="208" t="str">
        <f>B13</f>
        <v>ЗАВТРАК</v>
      </c>
      <c r="I13" s="208">
        <v>72</v>
      </c>
      <c r="J13" s="209" t="str">
        <f>D13</f>
        <v>чел</v>
      </c>
      <c r="K13" s="210"/>
      <c r="L13" s="211"/>
    </row>
    <row r="14" spans="1:12" ht="30" x14ac:dyDescent="0.25">
      <c r="A14" s="213">
        <v>1</v>
      </c>
      <c r="B14" s="214" t="s">
        <v>76</v>
      </c>
      <c r="C14" s="215" t="s">
        <v>8</v>
      </c>
      <c r="D14" s="215"/>
      <c r="E14" s="210">
        <f>100-19.88-23</f>
        <v>57.120000000000005</v>
      </c>
      <c r="F14" s="216"/>
      <c r="G14" s="213">
        <v>1</v>
      </c>
      <c r="H14" s="214" t="s">
        <v>77</v>
      </c>
      <c r="I14" s="215" t="s">
        <v>78</v>
      </c>
      <c r="J14" s="214"/>
      <c r="K14" s="210">
        <f>100-19.88-23+10.4</f>
        <v>67.52000000000001</v>
      </c>
      <c r="L14" s="217"/>
    </row>
    <row r="15" spans="1:12" ht="30" x14ac:dyDescent="0.25">
      <c r="A15" s="213">
        <f>A14+1</f>
        <v>2</v>
      </c>
      <c r="B15" s="214" t="s">
        <v>146</v>
      </c>
      <c r="C15" s="215" t="s">
        <v>8</v>
      </c>
      <c r="D15" s="215"/>
      <c r="E15" s="210">
        <v>15</v>
      </c>
      <c r="F15" s="216"/>
      <c r="G15" s="213">
        <f>G14+1</f>
        <v>2</v>
      </c>
      <c r="H15" s="214" t="s">
        <v>146</v>
      </c>
      <c r="I15" s="215" t="s">
        <v>8</v>
      </c>
      <c r="J15" s="214"/>
      <c r="K15" s="210">
        <v>15</v>
      </c>
      <c r="L15" s="217"/>
    </row>
    <row r="16" spans="1:12" ht="30" x14ac:dyDescent="0.25">
      <c r="A16" s="213">
        <f>A15+1</f>
        <v>3</v>
      </c>
      <c r="B16" s="214" t="s">
        <v>13</v>
      </c>
      <c r="C16" s="215" t="s">
        <v>12</v>
      </c>
      <c r="D16" s="215"/>
      <c r="E16" s="210">
        <v>10.08</v>
      </c>
      <c r="F16" s="216"/>
      <c r="G16" s="213">
        <f>G15+1</f>
        <v>3</v>
      </c>
      <c r="H16" s="214" t="s">
        <v>13</v>
      </c>
      <c r="I16" s="215" t="s">
        <v>12</v>
      </c>
      <c r="J16" s="214"/>
      <c r="K16" s="210">
        <v>10.08</v>
      </c>
      <c r="L16" s="217"/>
    </row>
    <row r="17" spans="1:12" ht="30" x14ac:dyDescent="0.25">
      <c r="A17" s="213">
        <v>4</v>
      </c>
      <c r="B17" s="214" t="s">
        <v>80</v>
      </c>
      <c r="C17" s="215" t="s">
        <v>81</v>
      </c>
      <c r="D17" s="215"/>
      <c r="E17" s="210"/>
      <c r="F17" s="218"/>
      <c r="G17" s="213">
        <v>4</v>
      </c>
      <c r="H17" s="214" t="s">
        <v>80</v>
      </c>
      <c r="I17" s="215" t="s">
        <v>81</v>
      </c>
      <c r="J17" s="214"/>
      <c r="K17" s="210"/>
      <c r="L17" s="217"/>
    </row>
    <row r="18" spans="1:12" ht="26.25" customHeight="1" x14ac:dyDescent="0.25">
      <c r="A18" s="213">
        <v>5</v>
      </c>
      <c r="B18" s="214" t="s">
        <v>84</v>
      </c>
      <c r="C18" s="215" t="s">
        <v>81</v>
      </c>
      <c r="D18" s="215"/>
      <c r="E18" s="210"/>
      <c r="F18" s="218"/>
      <c r="G18" s="213">
        <v>5</v>
      </c>
      <c r="H18" s="214" t="s">
        <v>84</v>
      </c>
      <c r="I18" s="215" t="s">
        <v>81</v>
      </c>
      <c r="J18" s="214"/>
      <c r="K18" s="210"/>
      <c r="L18" s="217"/>
    </row>
    <row r="19" spans="1:12" ht="30" x14ac:dyDescent="0.25">
      <c r="A19" s="213"/>
      <c r="B19" s="214"/>
      <c r="C19" s="215"/>
      <c r="D19" s="215"/>
      <c r="E19" s="210"/>
      <c r="F19" s="219"/>
      <c r="G19" s="213"/>
      <c r="H19" s="214"/>
      <c r="I19" s="215"/>
      <c r="J19" s="214"/>
      <c r="K19" s="210"/>
      <c r="L19" s="219"/>
    </row>
    <row r="20" spans="1:12" ht="30" x14ac:dyDescent="0.25">
      <c r="A20" s="213"/>
      <c r="B20" s="214"/>
      <c r="C20" s="215"/>
      <c r="D20" s="215"/>
      <c r="E20" s="210"/>
      <c r="F20" s="219"/>
      <c r="G20" s="213"/>
      <c r="H20" s="214"/>
      <c r="I20" s="215"/>
      <c r="J20" s="215"/>
      <c r="K20" s="210"/>
      <c r="L20" s="219"/>
    </row>
    <row r="21" spans="1:12" ht="30.75" x14ac:dyDescent="0.25">
      <c r="A21" s="207"/>
      <c r="B21" s="220" t="s">
        <v>0</v>
      </c>
      <c r="C21" s="221"/>
      <c r="D21" s="222"/>
      <c r="E21" s="210">
        <v>115.2</v>
      </c>
      <c r="F21" s="223">
        <f>107.27-E21</f>
        <v>-7.9300000000000068</v>
      </c>
      <c r="G21" s="212"/>
      <c r="H21" s="220" t="s">
        <v>0</v>
      </c>
      <c r="I21" s="221"/>
      <c r="J21" s="222"/>
      <c r="K21" s="210">
        <v>138.6</v>
      </c>
      <c r="L21" s="223">
        <f>129.4-K21</f>
        <v>-9.1999999999999886</v>
      </c>
    </row>
    <row r="22" spans="1:12" ht="30.75" x14ac:dyDescent="0.25">
      <c r="A22" s="207"/>
      <c r="B22" s="224"/>
      <c r="C22" s="225"/>
      <c r="D22" s="224"/>
      <c r="E22" s="210"/>
      <c r="F22" s="217"/>
      <c r="G22" s="226"/>
      <c r="H22" s="224"/>
      <c r="I22" s="225"/>
      <c r="J22" s="227"/>
      <c r="K22" s="210"/>
      <c r="L22" s="228"/>
    </row>
    <row r="23" spans="1:12" ht="30.75" x14ac:dyDescent="0.25">
      <c r="A23" s="207"/>
      <c r="B23" s="229" t="s">
        <v>147</v>
      </c>
      <c r="C23" s="230" t="s">
        <v>148</v>
      </c>
      <c r="D23" s="209" t="s">
        <v>145</v>
      </c>
      <c r="E23" s="210"/>
      <c r="F23" s="219"/>
      <c r="G23" s="207"/>
      <c r="H23" s="229" t="s">
        <v>147</v>
      </c>
      <c r="I23" s="230" t="s">
        <v>149</v>
      </c>
      <c r="J23" s="231" t="str">
        <f>D23</f>
        <v>чел</v>
      </c>
      <c r="K23" s="210"/>
      <c r="L23" s="219"/>
    </row>
    <row r="24" spans="1:12" ht="62.25" customHeight="1" x14ac:dyDescent="0.25">
      <c r="A24" s="213">
        <f>A23+1</f>
        <v>1</v>
      </c>
      <c r="B24" s="214" t="s">
        <v>123</v>
      </c>
      <c r="C24" s="215" t="s">
        <v>37</v>
      </c>
      <c r="D24" s="215"/>
      <c r="E24" s="210">
        <v>20</v>
      </c>
      <c r="F24" s="232"/>
      <c r="G24" s="213">
        <f>G23+1</f>
        <v>1</v>
      </c>
      <c r="H24" s="214" t="s">
        <v>123</v>
      </c>
      <c r="I24" s="215" t="s">
        <v>37</v>
      </c>
      <c r="J24" s="214"/>
      <c r="K24" s="210">
        <v>20</v>
      </c>
      <c r="L24" s="232"/>
    </row>
    <row r="25" spans="1:12" ht="30" x14ac:dyDescent="0.25">
      <c r="A25" s="213">
        <f>A24+1</f>
        <v>2</v>
      </c>
      <c r="B25" s="214" t="s">
        <v>150</v>
      </c>
      <c r="C25" s="215" t="s">
        <v>36</v>
      </c>
      <c r="D25" s="215"/>
      <c r="E25" s="210">
        <v>80</v>
      </c>
      <c r="F25" s="232"/>
      <c r="G25" s="213">
        <f>G24+1</f>
        <v>2</v>
      </c>
      <c r="H25" s="214" t="s">
        <v>150</v>
      </c>
      <c r="I25" s="215" t="s">
        <v>36</v>
      </c>
      <c r="J25" s="214"/>
      <c r="K25" s="210">
        <v>80</v>
      </c>
      <c r="L25" s="232"/>
    </row>
    <row r="26" spans="1:12" ht="30" x14ac:dyDescent="0.25">
      <c r="A26" s="213">
        <f>A25+1</f>
        <v>3</v>
      </c>
      <c r="B26" s="214" t="s">
        <v>151</v>
      </c>
      <c r="C26" s="215" t="s">
        <v>8</v>
      </c>
      <c r="D26" s="215"/>
      <c r="E26" s="210">
        <f>69.6-7.5</f>
        <v>62.099999999999994</v>
      </c>
      <c r="F26" s="218"/>
      <c r="G26" s="213">
        <f>G25+1</f>
        <v>3</v>
      </c>
      <c r="H26" s="214" t="s">
        <v>151</v>
      </c>
      <c r="I26" s="215" t="s">
        <v>36</v>
      </c>
      <c r="J26" s="214"/>
      <c r="K26" s="210">
        <f>62.1*1.2-2.82</f>
        <v>71.7</v>
      </c>
      <c r="L26" s="218"/>
    </row>
    <row r="27" spans="1:12" ht="30.75" x14ac:dyDescent="0.25">
      <c r="A27" s="213">
        <f>A26+1</f>
        <v>4</v>
      </c>
      <c r="B27" s="214" t="s">
        <v>94</v>
      </c>
      <c r="C27" s="215" t="s">
        <v>8</v>
      </c>
      <c r="D27" s="215"/>
      <c r="E27" s="210">
        <v>15</v>
      </c>
      <c r="F27" s="228"/>
      <c r="G27" s="213">
        <f>G26+1</f>
        <v>4</v>
      </c>
      <c r="H27" s="214" t="s">
        <v>94</v>
      </c>
      <c r="I27" s="215" t="s">
        <v>8</v>
      </c>
      <c r="J27" s="214"/>
      <c r="K27" s="210">
        <v>18</v>
      </c>
      <c r="L27" s="218"/>
    </row>
    <row r="28" spans="1:12" ht="30.75" x14ac:dyDescent="0.25">
      <c r="A28" s="213">
        <f>A27+1</f>
        <v>5</v>
      </c>
      <c r="B28" s="214" t="s">
        <v>6</v>
      </c>
      <c r="C28" s="215" t="s">
        <v>3</v>
      </c>
      <c r="D28" s="215"/>
      <c r="E28" s="210">
        <v>20</v>
      </c>
      <c r="F28" s="228"/>
      <c r="G28" s="213">
        <f>G27+1</f>
        <v>5</v>
      </c>
      <c r="H28" s="214" t="s">
        <v>6</v>
      </c>
      <c r="I28" s="215" t="s">
        <v>3</v>
      </c>
      <c r="J28" s="214"/>
      <c r="K28" s="210">
        <v>20</v>
      </c>
      <c r="L28" s="218"/>
    </row>
    <row r="29" spans="1:12" ht="33" customHeight="1" x14ac:dyDescent="0.25">
      <c r="A29" s="213">
        <v>6</v>
      </c>
      <c r="B29" s="214" t="s">
        <v>4</v>
      </c>
      <c r="C29" s="215" t="s">
        <v>3</v>
      </c>
      <c r="D29" s="215"/>
      <c r="E29" s="210">
        <v>7.5</v>
      </c>
      <c r="F29" s="228"/>
      <c r="G29" s="213">
        <v>6</v>
      </c>
      <c r="H29" s="214" t="s">
        <v>4</v>
      </c>
      <c r="I29" s="215" t="s">
        <v>3</v>
      </c>
      <c r="J29" s="214"/>
      <c r="K29" s="210">
        <v>7.5</v>
      </c>
      <c r="L29" s="218"/>
    </row>
    <row r="30" spans="1:12" ht="28.5" customHeight="1" x14ac:dyDescent="0.25">
      <c r="A30" s="213"/>
      <c r="B30" s="214"/>
      <c r="C30" s="215"/>
      <c r="D30" s="215"/>
      <c r="E30" s="210"/>
      <c r="F30" s="228"/>
      <c r="G30" s="213"/>
      <c r="H30" s="214"/>
      <c r="I30" s="215"/>
      <c r="J30" s="214"/>
      <c r="K30" s="210"/>
      <c r="L30" s="218"/>
    </row>
    <row r="31" spans="1:12" ht="30.75" x14ac:dyDescent="0.25">
      <c r="A31" s="207"/>
      <c r="B31" s="214"/>
      <c r="C31" s="215"/>
      <c r="D31" s="215"/>
      <c r="E31" s="210"/>
      <c r="F31" s="228"/>
      <c r="G31" s="212"/>
      <c r="H31" s="214"/>
      <c r="I31" s="215"/>
      <c r="J31" s="214"/>
      <c r="K31" s="210"/>
      <c r="L31" s="228"/>
    </row>
    <row r="32" spans="1:12" ht="30.75" x14ac:dyDescent="0.25">
      <c r="A32" s="207"/>
      <c r="B32" s="233"/>
      <c r="C32" s="234"/>
      <c r="D32" s="222"/>
      <c r="E32" s="210"/>
      <c r="F32" s="228"/>
      <c r="G32" s="207"/>
      <c r="H32" s="233"/>
      <c r="I32" s="234"/>
      <c r="J32" s="221"/>
      <c r="K32" s="210"/>
      <c r="L32" s="228"/>
    </row>
    <row r="33" spans="1:12" ht="30.75" x14ac:dyDescent="0.25">
      <c r="A33" s="207"/>
      <c r="B33" s="235" t="s">
        <v>0</v>
      </c>
      <c r="C33" s="221"/>
      <c r="D33" s="222"/>
      <c r="E33" s="210">
        <v>210.6</v>
      </c>
      <c r="F33" s="223">
        <f>197.87-E33</f>
        <v>-12.72999999999999</v>
      </c>
      <c r="G33" s="207"/>
      <c r="H33" s="235" t="s">
        <v>0</v>
      </c>
      <c r="I33" s="221"/>
      <c r="J33" s="221"/>
      <c r="K33" s="210">
        <v>223.2</v>
      </c>
      <c r="L33" s="223">
        <f>209.73-K33</f>
        <v>-13.469999999999999</v>
      </c>
    </row>
    <row r="34" spans="1:12" ht="30.75" x14ac:dyDescent="0.25">
      <c r="A34" s="207"/>
      <c r="B34" s="227"/>
      <c r="C34" s="236"/>
      <c r="D34" s="222"/>
      <c r="E34" s="210"/>
      <c r="F34" s="228"/>
      <c r="G34" s="207"/>
      <c r="H34" s="227"/>
      <c r="I34" s="236"/>
      <c r="J34" s="221"/>
      <c r="K34" s="210"/>
      <c r="L34" s="228"/>
    </row>
    <row r="35" spans="1:12" ht="30.75" x14ac:dyDescent="0.25">
      <c r="A35" s="207"/>
      <c r="B35" s="229"/>
      <c r="C35" s="237"/>
      <c r="D35" s="209"/>
      <c r="E35" s="210"/>
      <c r="F35" s="219"/>
      <c r="G35" s="207"/>
      <c r="H35" s="229"/>
      <c r="I35" s="237"/>
      <c r="J35" s="231"/>
      <c r="K35" s="210"/>
      <c r="L35" s="219"/>
    </row>
    <row r="36" spans="1:12" ht="30.75" x14ac:dyDescent="0.25">
      <c r="A36" s="207"/>
      <c r="B36" s="229" t="s">
        <v>152</v>
      </c>
      <c r="C36" s="208">
        <v>30</v>
      </c>
      <c r="D36" s="209" t="s">
        <v>145</v>
      </c>
      <c r="E36" s="210"/>
      <c r="F36" s="238"/>
      <c r="G36" s="207"/>
      <c r="H36" s="229" t="s">
        <v>152</v>
      </c>
      <c r="I36" s="208">
        <v>8</v>
      </c>
      <c r="J36" s="231" t="str">
        <f>D36</f>
        <v>чел</v>
      </c>
      <c r="K36" s="210"/>
      <c r="L36" s="238"/>
    </row>
    <row r="37" spans="1:12" ht="30" x14ac:dyDescent="0.25">
      <c r="A37" s="213">
        <v>1</v>
      </c>
      <c r="B37" s="214" t="s">
        <v>39</v>
      </c>
      <c r="C37" s="215" t="s">
        <v>8</v>
      </c>
      <c r="D37" s="214"/>
      <c r="E37" s="210">
        <f>82.5-20</f>
        <v>62.5</v>
      </c>
      <c r="F37" s="218"/>
      <c r="G37" s="213">
        <f>A37</f>
        <v>1</v>
      </c>
      <c r="H37" s="214" t="s">
        <v>39</v>
      </c>
      <c r="I37" s="215" t="s">
        <v>8</v>
      </c>
      <c r="J37" s="215"/>
      <c r="K37" s="210">
        <f>82.5-20</f>
        <v>62.5</v>
      </c>
      <c r="L37" s="217"/>
    </row>
    <row r="38" spans="1:12" ht="30" x14ac:dyDescent="0.25">
      <c r="A38" s="213">
        <f>A37+1</f>
        <v>2</v>
      </c>
      <c r="B38" s="214" t="s">
        <v>153</v>
      </c>
      <c r="C38" s="215" t="s">
        <v>33</v>
      </c>
      <c r="D38" s="214"/>
      <c r="E38" s="210">
        <v>34.700000000000003</v>
      </c>
      <c r="F38" s="218"/>
      <c r="G38" s="213">
        <f>A38</f>
        <v>2</v>
      </c>
      <c r="H38" s="214" t="s">
        <v>153</v>
      </c>
      <c r="I38" s="215" t="s">
        <v>34</v>
      </c>
      <c r="J38" s="215"/>
      <c r="K38" s="210">
        <v>43.7</v>
      </c>
      <c r="L38" s="217"/>
    </row>
    <row r="39" spans="1:12" ht="30" x14ac:dyDescent="0.25">
      <c r="A39" s="213">
        <v>3</v>
      </c>
      <c r="B39" s="214" t="s">
        <v>122</v>
      </c>
      <c r="C39" s="239" t="s">
        <v>64</v>
      </c>
      <c r="D39" s="214"/>
      <c r="E39" s="210"/>
      <c r="F39" s="218"/>
      <c r="G39" s="213">
        <v>3</v>
      </c>
      <c r="H39" s="214" t="s">
        <v>122</v>
      </c>
      <c r="I39" s="239" t="s">
        <v>64</v>
      </c>
      <c r="J39" s="215"/>
      <c r="K39" s="210"/>
      <c r="L39" s="217"/>
    </row>
    <row r="40" spans="1:12" ht="30.75" x14ac:dyDescent="0.25">
      <c r="A40" s="240"/>
      <c r="B40" s="214"/>
      <c r="C40" s="215"/>
      <c r="D40" s="215"/>
      <c r="E40" s="210"/>
      <c r="F40" s="241"/>
      <c r="G40" s="207"/>
      <c r="H40" s="214"/>
      <c r="I40" s="215"/>
      <c r="J40" s="215"/>
      <c r="K40" s="210"/>
      <c r="L40" s="219"/>
    </row>
    <row r="41" spans="1:12" ht="30.75" x14ac:dyDescent="0.25">
      <c r="A41" s="207"/>
      <c r="B41" s="220" t="s">
        <v>0</v>
      </c>
      <c r="C41" s="221"/>
      <c r="D41" s="222"/>
      <c r="E41" s="210">
        <v>97.2</v>
      </c>
      <c r="F41" s="223">
        <f>89.6-E41</f>
        <v>-7.6000000000000085</v>
      </c>
      <c r="G41" s="207"/>
      <c r="H41" s="235" t="str">
        <f>B41</f>
        <v>Итого:</v>
      </c>
      <c r="I41" s="221"/>
      <c r="J41" s="221"/>
      <c r="K41" s="210">
        <v>106.2</v>
      </c>
      <c r="L41" s="223">
        <f>98.6-K41</f>
        <v>-7.6000000000000085</v>
      </c>
    </row>
    <row r="42" spans="1:12" ht="27.75" x14ac:dyDescent="0.25">
      <c r="A42" s="240"/>
      <c r="B42" s="242"/>
      <c r="C42" s="242"/>
      <c r="D42" s="242"/>
      <c r="E42" s="243"/>
      <c r="F42" s="241"/>
      <c r="G42" s="244"/>
      <c r="H42" s="242"/>
      <c r="I42" s="242"/>
      <c r="J42" s="242"/>
      <c r="K42" s="245"/>
      <c r="L42" s="241"/>
    </row>
    <row r="43" spans="1:12" ht="26.25" x14ac:dyDescent="0.25">
      <c r="A43" s="246"/>
      <c r="B43" s="247"/>
      <c r="C43" s="248"/>
      <c r="D43" s="247"/>
      <c r="E43" s="249"/>
      <c r="F43" s="250"/>
      <c r="G43" s="251"/>
      <c r="H43" s="247"/>
      <c r="I43" s="248"/>
      <c r="J43" s="247"/>
      <c r="K43" s="249"/>
      <c r="L43" s="250"/>
    </row>
    <row r="44" spans="1:12" ht="30.75" x14ac:dyDescent="0.25">
      <c r="A44" s="207"/>
      <c r="B44" s="252" t="s">
        <v>71</v>
      </c>
      <c r="C44" s="222"/>
      <c r="D44" s="253" t="s">
        <v>72</v>
      </c>
      <c r="E44" s="254"/>
      <c r="F44" s="211"/>
      <c r="G44" s="212"/>
      <c r="H44" s="252" t="str">
        <f>B44</f>
        <v>Бухгалтер</v>
      </c>
      <c r="I44" s="222"/>
      <c r="J44" s="253" t="str">
        <f>D44</f>
        <v>Гудым Д.С.</v>
      </c>
      <c r="K44" s="254"/>
      <c r="L44" s="211"/>
    </row>
    <row r="45" spans="1:12" ht="31.5" thickBot="1" x14ac:dyDescent="0.3">
      <c r="A45" s="255"/>
      <c r="B45" s="256" t="s">
        <v>154</v>
      </c>
      <c r="C45" s="257"/>
      <c r="D45" s="258" t="s">
        <v>74</v>
      </c>
      <c r="E45" s="259"/>
      <c r="F45" s="260"/>
      <c r="G45" s="255"/>
      <c r="H45" s="256" t="str">
        <f>B45</f>
        <v>Зав.производством</v>
      </c>
      <c r="I45" s="257"/>
      <c r="J45" s="261" t="str">
        <f>D45</f>
        <v>Катанцева Я.В.</v>
      </c>
      <c r="K45" s="259"/>
      <c r="L45" s="260"/>
    </row>
    <row r="46" spans="1:12" ht="22.5" x14ac:dyDescent="0.25">
      <c r="A46" s="262"/>
      <c r="B46" s="263"/>
      <c r="C46" s="263"/>
      <c r="D46" s="263"/>
      <c r="E46" s="262"/>
      <c r="F46" s="262"/>
      <c r="G46" s="263"/>
      <c r="H46" s="263"/>
      <c r="I46" s="263"/>
      <c r="J46" s="263"/>
      <c r="K46" s="262"/>
      <c r="L46" s="262"/>
    </row>
    <row r="47" spans="1:12" ht="22.5" x14ac:dyDescent="0.25">
      <c r="A47" s="262"/>
      <c r="B47" s="263"/>
      <c r="C47" s="263"/>
      <c r="D47" s="263"/>
      <c r="E47" s="262"/>
      <c r="F47" s="262"/>
      <c r="G47" s="263"/>
      <c r="H47" s="263"/>
      <c r="I47" s="263"/>
      <c r="J47" s="263"/>
      <c r="K47" s="262"/>
      <c r="L47" s="262"/>
    </row>
    <row r="48" spans="1:12" ht="22.5" x14ac:dyDescent="0.25">
      <c r="A48" s="262"/>
      <c r="B48" s="263"/>
      <c r="C48" s="263"/>
      <c r="D48" s="263"/>
      <c r="E48" s="262"/>
      <c r="F48" s="262"/>
      <c r="G48" s="263"/>
      <c r="H48" s="263"/>
      <c r="I48" s="263"/>
      <c r="J48" s="263"/>
      <c r="K48" s="262"/>
      <c r="L48" s="262"/>
    </row>
    <row r="49" spans="1:12" ht="27.75" customHeight="1" x14ac:dyDescent="0.25">
      <c r="A49" s="262"/>
      <c r="B49" s="214"/>
      <c r="C49" s="215"/>
      <c r="D49" s="215"/>
      <c r="E49" s="215"/>
      <c r="F49" s="262"/>
      <c r="G49" s="263"/>
      <c r="H49" s="263"/>
      <c r="I49" s="263"/>
      <c r="J49" s="263"/>
      <c r="K49" s="262"/>
      <c r="L49" s="262"/>
    </row>
  </sheetData>
  <mergeCells count="22">
    <mergeCell ref="C9:E9"/>
    <mergeCell ref="I9:K9"/>
    <mergeCell ref="A6:B6"/>
    <mergeCell ref="C6:F6"/>
    <mergeCell ref="G6:H6"/>
    <mergeCell ref="I6:L6"/>
    <mergeCell ref="C7:F7"/>
    <mergeCell ref="I7:L7"/>
    <mergeCell ref="A3:B3"/>
    <mergeCell ref="E3:F3"/>
    <mergeCell ref="G3:H3"/>
    <mergeCell ref="K3:L3"/>
    <mergeCell ref="A4:B4"/>
    <mergeCell ref="E4:F4"/>
    <mergeCell ref="G4:H4"/>
    <mergeCell ref="K4:L4"/>
    <mergeCell ref="A1:B1"/>
    <mergeCell ref="E1:F2"/>
    <mergeCell ref="G1:H1"/>
    <mergeCell ref="K1:L2"/>
    <mergeCell ref="A2:B2"/>
    <mergeCell ref="G2:H2"/>
  </mergeCells>
  <pageMargins left="0.7" right="0.7" top="0.75" bottom="0.75" header="0.3" footer="0.3"/>
  <pageSetup paperSize="9" scale="35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view="pageBreakPreview" topLeftCell="A7" zoomScale="40" zoomScaleNormal="40" zoomScaleSheetLayoutView="40" workbookViewId="0">
      <selection activeCell="E41" sqref="E41"/>
    </sheetView>
  </sheetViews>
  <sheetFormatPr defaultRowHeight="23.25" x14ac:dyDescent="0.25"/>
  <cols>
    <col min="1" max="1" width="5.28515625" style="264" customWidth="1"/>
    <col min="2" max="2" width="90.28515625" style="265" customWidth="1"/>
    <col min="3" max="3" width="20" style="265" customWidth="1"/>
    <col min="4" max="4" width="11.7109375" style="265" customWidth="1"/>
    <col min="5" max="6" width="60.7109375" style="264" customWidth="1"/>
    <col min="7" max="7" width="5.7109375" style="265" customWidth="1"/>
    <col min="8" max="8" width="95.7109375" style="265" customWidth="1"/>
    <col min="9" max="9" width="18.5703125" style="265" customWidth="1"/>
    <col min="10" max="10" width="12" style="265" customWidth="1"/>
    <col min="11" max="11" width="60.7109375" style="264" customWidth="1"/>
    <col min="12" max="12" width="55" style="264" customWidth="1"/>
  </cols>
  <sheetData>
    <row r="1" spans="1:12" ht="33.75" customHeight="1" x14ac:dyDescent="0.25">
      <c r="A1" s="303" t="s">
        <v>40</v>
      </c>
      <c r="B1" s="303"/>
      <c r="C1" s="86"/>
      <c r="D1" s="86"/>
      <c r="E1" s="304" t="s">
        <v>41</v>
      </c>
      <c r="F1" s="304"/>
      <c r="G1" s="303" t="s">
        <v>40</v>
      </c>
      <c r="H1" s="303"/>
      <c r="I1" s="86"/>
      <c r="J1" s="86"/>
      <c r="K1" s="304" t="s">
        <v>41</v>
      </c>
      <c r="L1" s="304"/>
    </row>
    <row r="2" spans="1:12" ht="92.25" customHeight="1" x14ac:dyDescent="0.25">
      <c r="A2" s="305" t="s">
        <v>42</v>
      </c>
      <c r="B2" s="305"/>
      <c r="C2" s="86"/>
      <c r="D2" s="86"/>
      <c r="E2" s="304"/>
      <c r="F2" s="304"/>
      <c r="G2" s="305" t="s">
        <v>42</v>
      </c>
      <c r="H2" s="305"/>
      <c r="I2" s="86"/>
      <c r="J2" s="86"/>
      <c r="K2" s="304"/>
      <c r="L2" s="304"/>
    </row>
    <row r="3" spans="1:12" ht="33.75" customHeight="1" x14ac:dyDescent="0.25">
      <c r="A3" s="303" t="s">
        <v>139</v>
      </c>
      <c r="B3" s="303"/>
      <c r="C3" s="86"/>
      <c r="D3" s="86"/>
      <c r="E3" s="304" t="s">
        <v>75</v>
      </c>
      <c r="F3" s="304"/>
      <c r="G3" s="303" t="s">
        <v>139</v>
      </c>
      <c r="H3" s="303"/>
      <c r="I3" s="86"/>
      <c r="J3" s="86"/>
      <c r="K3" s="304" t="s">
        <v>75</v>
      </c>
      <c r="L3" s="304"/>
    </row>
    <row r="4" spans="1:12" ht="33" x14ac:dyDescent="0.25">
      <c r="A4" s="306" t="s">
        <v>45</v>
      </c>
      <c r="B4" s="306"/>
      <c r="C4" s="86"/>
      <c r="D4" s="86"/>
      <c r="E4" s="306" t="s">
        <v>45</v>
      </c>
      <c r="F4" s="306"/>
      <c r="G4" s="306" t="s">
        <v>45</v>
      </c>
      <c r="H4" s="306"/>
      <c r="I4" s="86"/>
      <c r="J4" s="86"/>
      <c r="K4" s="306" t="s">
        <v>45</v>
      </c>
      <c r="L4" s="306"/>
    </row>
    <row r="5" spans="1:12" ht="33.75" x14ac:dyDescent="0.25">
      <c r="A5" s="182"/>
      <c r="B5" s="182"/>
      <c r="C5" s="182"/>
      <c r="D5" s="182"/>
      <c r="E5" s="86"/>
      <c r="F5" s="86"/>
      <c r="G5" s="182"/>
      <c r="H5" s="182"/>
      <c r="I5" s="182"/>
      <c r="J5" s="182"/>
      <c r="K5" s="86"/>
      <c r="L5" s="86"/>
    </row>
    <row r="6" spans="1:12" ht="87.75" customHeight="1" x14ac:dyDescent="0.25">
      <c r="A6" s="308" t="s">
        <v>46</v>
      </c>
      <c r="B6" s="308"/>
      <c r="C6" s="309" t="s">
        <v>47</v>
      </c>
      <c r="D6" s="309"/>
      <c r="E6" s="309"/>
      <c r="F6" s="309"/>
      <c r="G6" s="308" t="s">
        <v>46</v>
      </c>
      <c r="H6" s="308"/>
      <c r="I6" s="309" t="s">
        <v>47</v>
      </c>
      <c r="J6" s="309"/>
      <c r="K6" s="309"/>
      <c r="L6" s="309"/>
    </row>
    <row r="7" spans="1:12" ht="33" customHeight="1" x14ac:dyDescent="0.25">
      <c r="A7" s="183"/>
      <c r="B7" s="183"/>
      <c r="C7" s="309" t="s">
        <v>48</v>
      </c>
      <c r="D7" s="309"/>
      <c r="E7" s="309"/>
      <c r="F7" s="309"/>
      <c r="G7" s="183"/>
      <c r="H7" s="183"/>
      <c r="I7" s="309" t="s">
        <v>48</v>
      </c>
      <c r="J7" s="309"/>
      <c r="K7" s="309"/>
      <c r="L7" s="309"/>
    </row>
    <row r="8" spans="1:12" ht="33" x14ac:dyDescent="0.25">
      <c r="A8" s="183"/>
      <c r="B8" s="183"/>
      <c r="C8" s="184"/>
      <c r="D8" s="184"/>
      <c r="E8" s="184"/>
      <c r="F8" s="184"/>
      <c r="G8" s="183"/>
      <c r="H8" s="183"/>
      <c r="I8" s="184"/>
      <c r="J8" s="184"/>
      <c r="K8" s="184"/>
      <c r="L8" s="184"/>
    </row>
    <row r="9" spans="1:12" ht="44.25" customHeight="1" x14ac:dyDescent="0.25">
      <c r="A9" s="185" t="s">
        <v>49</v>
      </c>
      <c r="B9" s="185"/>
      <c r="C9" s="307" t="s">
        <v>140</v>
      </c>
      <c r="D9" s="307"/>
      <c r="E9" s="307"/>
      <c r="F9" s="185"/>
      <c r="G9" s="185" t="s">
        <v>49</v>
      </c>
      <c r="H9" s="185"/>
      <c r="I9" s="307" t="s">
        <v>141</v>
      </c>
      <c r="J9" s="307"/>
      <c r="K9" s="307"/>
      <c r="L9" s="185"/>
    </row>
    <row r="10" spans="1:12" ht="28.5" thickBot="1" x14ac:dyDescent="0.3">
      <c r="A10" s="75"/>
      <c r="B10" s="186"/>
      <c r="C10" s="187"/>
      <c r="D10" s="187"/>
      <c r="E10" s="188"/>
      <c r="F10" s="75"/>
      <c r="G10" s="75"/>
      <c r="H10" s="186"/>
      <c r="I10" s="189"/>
      <c r="J10" s="189"/>
      <c r="K10" s="188"/>
      <c r="L10" s="75"/>
    </row>
    <row r="11" spans="1:12" ht="81.75" customHeight="1" thickBot="1" x14ac:dyDescent="0.3">
      <c r="A11" s="190"/>
      <c r="B11" s="191"/>
      <c r="C11" s="192" t="s">
        <v>142</v>
      </c>
      <c r="D11" s="192"/>
      <c r="E11" s="193" t="s">
        <v>143</v>
      </c>
      <c r="F11" s="194">
        <v>44652</v>
      </c>
      <c r="G11" s="195"/>
      <c r="H11" s="191"/>
      <c r="I11" s="192" t="str">
        <f>C11</f>
        <v>Выход, гр</v>
      </c>
      <c r="J11" s="192"/>
      <c r="K11" s="193" t="str">
        <f>E11</f>
        <v>Цена Продажная</v>
      </c>
      <c r="L11" s="196">
        <f>F11</f>
        <v>44652</v>
      </c>
    </row>
    <row r="12" spans="1:12" ht="33" customHeight="1" x14ac:dyDescent="0.25">
      <c r="A12" s="197"/>
      <c r="B12" s="198"/>
      <c r="C12" s="199"/>
      <c r="D12" s="198"/>
      <c r="E12" s="200"/>
      <c r="F12" s="201"/>
      <c r="G12" s="202"/>
      <c r="H12" s="203"/>
      <c r="I12" s="204"/>
      <c r="J12" s="203"/>
      <c r="K12" s="205"/>
      <c r="L12" s="206"/>
    </row>
    <row r="13" spans="1:12" ht="30.75" x14ac:dyDescent="0.25">
      <c r="A13" s="207"/>
      <c r="B13" s="208" t="s">
        <v>144</v>
      </c>
      <c r="C13" s="208">
        <v>30</v>
      </c>
      <c r="D13" s="209" t="s">
        <v>145</v>
      </c>
      <c r="E13" s="210"/>
      <c r="F13" s="211"/>
      <c r="G13" s="212"/>
      <c r="H13" s="208" t="str">
        <f>B13</f>
        <v>ЗАВТРАК</v>
      </c>
      <c r="I13" s="208">
        <v>80</v>
      </c>
      <c r="J13" s="209" t="str">
        <f>D13</f>
        <v>чел</v>
      </c>
      <c r="K13" s="210"/>
      <c r="L13" s="211"/>
    </row>
    <row r="14" spans="1:12" ht="30" x14ac:dyDescent="0.25">
      <c r="A14" s="213">
        <v>1</v>
      </c>
      <c r="B14" s="214" t="s">
        <v>76</v>
      </c>
      <c r="C14" s="215" t="s">
        <v>8</v>
      </c>
      <c r="D14" s="215"/>
      <c r="E14" s="210">
        <f>100-19.88-23</f>
        <v>57.120000000000005</v>
      </c>
      <c r="F14" s="216"/>
      <c r="G14" s="213">
        <v>1</v>
      </c>
      <c r="H14" s="214" t="s">
        <v>77</v>
      </c>
      <c r="I14" s="215" t="s">
        <v>78</v>
      </c>
      <c r="J14" s="214"/>
      <c r="K14" s="210">
        <f>100-19.88-23+10.4</f>
        <v>67.52000000000001</v>
      </c>
      <c r="L14" s="217"/>
    </row>
    <row r="15" spans="1:12" ht="30" x14ac:dyDescent="0.25">
      <c r="A15" s="213">
        <f>A14+1</f>
        <v>2</v>
      </c>
      <c r="B15" s="214" t="s">
        <v>13</v>
      </c>
      <c r="C15" s="215" t="s">
        <v>12</v>
      </c>
      <c r="D15" s="215"/>
      <c r="E15" s="210">
        <v>15</v>
      </c>
      <c r="F15" s="216"/>
      <c r="G15" s="213">
        <f>G14+1</f>
        <v>2</v>
      </c>
      <c r="H15" s="214" t="s">
        <v>13</v>
      </c>
      <c r="I15" s="215" t="s">
        <v>12</v>
      </c>
      <c r="J15" s="214"/>
      <c r="K15" s="210">
        <v>15</v>
      </c>
      <c r="L15" s="217"/>
    </row>
    <row r="16" spans="1:12" ht="30" x14ac:dyDescent="0.25">
      <c r="A16" s="213">
        <f>A15+1</f>
        <v>3</v>
      </c>
      <c r="B16" s="214" t="s">
        <v>80</v>
      </c>
      <c r="C16" s="215" t="s">
        <v>81</v>
      </c>
      <c r="D16" s="215"/>
      <c r="E16" s="210">
        <v>10.08</v>
      </c>
      <c r="F16" s="216"/>
      <c r="G16" s="213">
        <f>G15+1</f>
        <v>3</v>
      </c>
      <c r="H16" s="214" t="s">
        <v>80</v>
      </c>
      <c r="I16" s="215" t="s">
        <v>81</v>
      </c>
      <c r="J16" s="214"/>
      <c r="K16" s="210">
        <v>10.08</v>
      </c>
      <c r="L16" s="217"/>
    </row>
    <row r="17" spans="1:12" ht="30" x14ac:dyDescent="0.25">
      <c r="A17" s="213">
        <v>4</v>
      </c>
      <c r="B17" s="214" t="s">
        <v>82</v>
      </c>
      <c r="C17" s="215" t="s">
        <v>8</v>
      </c>
      <c r="D17" s="215"/>
      <c r="E17" s="210"/>
      <c r="F17" s="218"/>
      <c r="G17" s="213">
        <v>4</v>
      </c>
      <c r="H17" s="214" t="s">
        <v>82</v>
      </c>
      <c r="I17" s="215" t="s">
        <v>8</v>
      </c>
      <c r="J17" s="214"/>
      <c r="K17" s="210"/>
      <c r="L17" s="217"/>
    </row>
    <row r="18" spans="1:12" ht="26.25" customHeight="1" x14ac:dyDescent="0.25">
      <c r="A18" s="213">
        <v>5</v>
      </c>
      <c r="B18" s="214" t="s">
        <v>84</v>
      </c>
      <c r="C18" s="215" t="s">
        <v>81</v>
      </c>
      <c r="D18" s="215"/>
      <c r="E18" s="210"/>
      <c r="F18" s="218"/>
      <c r="G18" s="213">
        <v>5</v>
      </c>
      <c r="H18" s="214" t="s">
        <v>84</v>
      </c>
      <c r="I18" s="215" t="s">
        <v>81</v>
      </c>
      <c r="J18" s="214"/>
      <c r="K18" s="210"/>
      <c r="L18" s="217"/>
    </row>
    <row r="19" spans="1:12" ht="30" x14ac:dyDescent="0.25">
      <c r="A19" s="213"/>
      <c r="B19" s="214"/>
      <c r="C19" s="215"/>
      <c r="D19" s="215"/>
      <c r="E19" s="210"/>
      <c r="F19" s="219"/>
      <c r="G19" s="213"/>
      <c r="H19" s="214"/>
      <c r="I19" s="215"/>
      <c r="J19" s="214"/>
      <c r="K19" s="210"/>
      <c r="L19" s="219"/>
    </row>
    <row r="20" spans="1:12" ht="30" x14ac:dyDescent="0.25">
      <c r="A20" s="213"/>
      <c r="B20" s="214"/>
      <c r="C20" s="215"/>
      <c r="D20" s="215"/>
      <c r="E20" s="210"/>
      <c r="F20" s="219"/>
      <c r="G20" s="213"/>
      <c r="H20" s="214"/>
      <c r="I20" s="215"/>
      <c r="J20" s="215"/>
      <c r="K20" s="210"/>
      <c r="L20" s="219"/>
    </row>
    <row r="21" spans="1:12" ht="30.75" x14ac:dyDescent="0.25">
      <c r="A21" s="207"/>
      <c r="B21" s="220" t="s">
        <v>0</v>
      </c>
      <c r="C21" s="221"/>
      <c r="D21" s="222"/>
      <c r="E21" s="210">
        <v>115.2</v>
      </c>
      <c r="F21" s="223">
        <f>107.27-E21</f>
        <v>-7.9300000000000068</v>
      </c>
      <c r="G21" s="212"/>
      <c r="H21" s="220" t="s">
        <v>0</v>
      </c>
      <c r="I21" s="221"/>
      <c r="J21" s="222"/>
      <c r="K21" s="210">
        <v>138.6</v>
      </c>
      <c r="L21" s="223">
        <f>129.4-K21</f>
        <v>-9.1999999999999886</v>
      </c>
    </row>
    <row r="22" spans="1:12" ht="30.75" x14ac:dyDescent="0.25">
      <c r="A22" s="207"/>
      <c r="B22" s="224"/>
      <c r="C22" s="225"/>
      <c r="D22" s="224"/>
      <c r="E22" s="210"/>
      <c r="F22" s="217"/>
      <c r="G22" s="226"/>
      <c r="H22" s="224"/>
      <c r="I22" s="225"/>
      <c r="J22" s="227"/>
      <c r="K22" s="210"/>
      <c r="L22" s="228"/>
    </row>
    <row r="23" spans="1:12" ht="30.75" x14ac:dyDescent="0.25">
      <c r="A23" s="207"/>
      <c r="B23" s="229" t="s">
        <v>147</v>
      </c>
      <c r="C23" s="230" t="s">
        <v>157</v>
      </c>
      <c r="D23" s="209" t="s">
        <v>145</v>
      </c>
      <c r="E23" s="210"/>
      <c r="F23" s="219"/>
      <c r="G23" s="207"/>
      <c r="H23" s="229" t="s">
        <v>147</v>
      </c>
      <c r="I23" s="230" t="s">
        <v>158</v>
      </c>
      <c r="J23" s="231" t="str">
        <f>D23</f>
        <v>чел</v>
      </c>
      <c r="K23" s="210"/>
      <c r="L23" s="219"/>
    </row>
    <row r="24" spans="1:12" ht="62.25" customHeight="1" x14ac:dyDescent="0.25">
      <c r="A24" s="213">
        <f>A23+1</f>
        <v>1</v>
      </c>
      <c r="B24" s="288" t="s">
        <v>85</v>
      </c>
      <c r="C24" s="215" t="s">
        <v>37</v>
      </c>
      <c r="D24" s="215"/>
      <c r="E24" s="210">
        <v>20</v>
      </c>
      <c r="F24" s="232"/>
      <c r="G24" s="213">
        <f>G23+1</f>
        <v>1</v>
      </c>
      <c r="H24" s="288" t="s">
        <v>85</v>
      </c>
      <c r="I24" s="215" t="s">
        <v>37</v>
      </c>
      <c r="J24" s="214"/>
      <c r="K24" s="210">
        <v>20</v>
      </c>
      <c r="L24" s="232"/>
    </row>
    <row r="25" spans="1:12" ht="30" x14ac:dyDescent="0.25">
      <c r="A25" s="213">
        <f>A24+1</f>
        <v>2</v>
      </c>
      <c r="B25" s="214" t="s">
        <v>86</v>
      </c>
      <c r="C25" s="215" t="s">
        <v>36</v>
      </c>
      <c r="D25" s="215"/>
      <c r="E25" s="210">
        <v>80</v>
      </c>
      <c r="F25" s="232"/>
      <c r="G25" s="213">
        <f>G24+1</f>
        <v>2</v>
      </c>
      <c r="H25" s="214" t="s">
        <v>86</v>
      </c>
      <c r="I25" s="215" t="s">
        <v>36</v>
      </c>
      <c r="J25" s="214"/>
      <c r="K25" s="210">
        <v>80</v>
      </c>
      <c r="L25" s="232"/>
    </row>
    <row r="26" spans="1:12" ht="30" x14ac:dyDescent="0.25">
      <c r="A26" s="213">
        <f>A25+1</f>
        <v>3</v>
      </c>
      <c r="B26" s="214" t="s">
        <v>87</v>
      </c>
      <c r="C26" s="215" t="s">
        <v>64</v>
      </c>
      <c r="D26" s="215"/>
      <c r="E26" s="210">
        <f>69.6-7.5</f>
        <v>62.099999999999994</v>
      </c>
      <c r="F26" s="218"/>
      <c r="G26" s="213">
        <f>G25+1</f>
        <v>3</v>
      </c>
      <c r="H26" s="214" t="s">
        <v>87</v>
      </c>
      <c r="I26" s="215" t="s">
        <v>64</v>
      </c>
      <c r="J26" s="214"/>
      <c r="K26" s="210">
        <f>62.1*1.2-2.82</f>
        <v>71.7</v>
      </c>
      <c r="L26" s="218"/>
    </row>
    <row r="27" spans="1:12" ht="30.75" x14ac:dyDescent="0.25">
      <c r="A27" s="213">
        <f>A26+1</f>
        <v>4</v>
      </c>
      <c r="B27" s="214" t="s">
        <v>92</v>
      </c>
      <c r="C27" s="215" t="s">
        <v>31</v>
      </c>
      <c r="D27" s="215"/>
      <c r="E27" s="210">
        <v>15</v>
      </c>
      <c r="F27" s="228"/>
      <c r="G27" s="213">
        <f>G26+1</f>
        <v>4</v>
      </c>
      <c r="H27" s="214" t="s">
        <v>92</v>
      </c>
      <c r="I27" s="215" t="s">
        <v>32</v>
      </c>
      <c r="J27" s="214"/>
      <c r="K27" s="210">
        <v>18</v>
      </c>
      <c r="L27" s="218"/>
    </row>
    <row r="28" spans="1:12" ht="30.75" x14ac:dyDescent="0.25">
      <c r="A28" s="213">
        <f>A27+1</f>
        <v>5</v>
      </c>
      <c r="B28" s="214" t="s">
        <v>94</v>
      </c>
      <c r="C28" s="215" t="s">
        <v>8</v>
      </c>
      <c r="D28" s="215"/>
      <c r="E28" s="210">
        <v>20</v>
      </c>
      <c r="F28" s="228"/>
      <c r="G28" s="213">
        <f>G27+1</f>
        <v>5</v>
      </c>
      <c r="H28" s="214" t="s">
        <v>94</v>
      </c>
      <c r="I28" s="215" t="s">
        <v>8</v>
      </c>
      <c r="J28" s="214"/>
      <c r="K28" s="210">
        <v>20</v>
      </c>
      <c r="L28" s="218"/>
    </row>
    <row r="29" spans="1:12" ht="33" customHeight="1" x14ac:dyDescent="0.25">
      <c r="A29" s="213">
        <v>6</v>
      </c>
      <c r="B29" s="214" t="s">
        <v>6</v>
      </c>
      <c r="C29" s="215" t="s">
        <v>3</v>
      </c>
      <c r="D29" s="215"/>
      <c r="E29" s="210">
        <v>7.5</v>
      </c>
      <c r="F29" s="228"/>
      <c r="G29" s="213">
        <v>6</v>
      </c>
      <c r="H29" s="214" t="s">
        <v>6</v>
      </c>
      <c r="I29" s="215" t="s">
        <v>3</v>
      </c>
      <c r="J29" s="214"/>
      <c r="K29" s="210">
        <v>7.5</v>
      </c>
      <c r="L29" s="218"/>
    </row>
    <row r="30" spans="1:12" ht="28.5" customHeight="1" x14ac:dyDescent="0.25">
      <c r="A30" s="213">
        <v>7</v>
      </c>
      <c r="B30" s="214" t="s">
        <v>4</v>
      </c>
      <c r="C30" s="215" t="s">
        <v>3</v>
      </c>
      <c r="D30" s="215"/>
      <c r="E30" s="210"/>
      <c r="F30" s="228"/>
      <c r="G30" s="213">
        <v>7</v>
      </c>
      <c r="H30" s="214" t="s">
        <v>4</v>
      </c>
      <c r="I30" s="215" t="s">
        <v>3</v>
      </c>
      <c r="J30" s="214"/>
      <c r="K30" s="210"/>
      <c r="L30" s="218"/>
    </row>
    <row r="31" spans="1:12" ht="30.75" x14ac:dyDescent="0.25">
      <c r="A31" s="207"/>
      <c r="B31" s="214"/>
      <c r="C31" s="215"/>
      <c r="D31" s="215"/>
      <c r="E31" s="210"/>
      <c r="F31" s="228"/>
      <c r="G31" s="212"/>
      <c r="H31" s="214"/>
      <c r="I31" s="215"/>
      <c r="J31" s="214"/>
      <c r="K31" s="210"/>
      <c r="L31" s="228"/>
    </row>
    <row r="32" spans="1:12" ht="30.75" x14ac:dyDescent="0.25">
      <c r="A32" s="207"/>
      <c r="B32" s="233"/>
      <c r="C32" s="234"/>
      <c r="D32" s="222"/>
      <c r="E32" s="210"/>
      <c r="F32" s="228"/>
      <c r="G32" s="207"/>
      <c r="H32" s="233"/>
      <c r="I32" s="234"/>
      <c r="J32" s="221"/>
      <c r="K32" s="210"/>
      <c r="L32" s="228"/>
    </row>
    <row r="33" spans="1:12" ht="30.75" x14ac:dyDescent="0.25">
      <c r="A33" s="207"/>
      <c r="B33" s="235" t="s">
        <v>0</v>
      </c>
      <c r="C33" s="221"/>
      <c r="D33" s="222"/>
      <c r="E33" s="210">
        <v>210.6</v>
      </c>
      <c r="F33" s="223">
        <f>197.87-E33</f>
        <v>-12.72999999999999</v>
      </c>
      <c r="G33" s="207"/>
      <c r="H33" s="235" t="s">
        <v>0</v>
      </c>
      <c r="I33" s="221"/>
      <c r="J33" s="221"/>
      <c r="K33" s="210">
        <v>223.2</v>
      </c>
      <c r="L33" s="223">
        <f>209.73-K33</f>
        <v>-13.469999999999999</v>
      </c>
    </row>
    <row r="34" spans="1:12" ht="30.75" x14ac:dyDescent="0.25">
      <c r="A34" s="207"/>
      <c r="B34" s="227"/>
      <c r="C34" s="236"/>
      <c r="D34" s="222"/>
      <c r="E34" s="210"/>
      <c r="F34" s="228"/>
      <c r="G34" s="207"/>
      <c r="H34" s="227"/>
      <c r="I34" s="236"/>
      <c r="J34" s="221"/>
      <c r="K34" s="210"/>
      <c r="L34" s="228"/>
    </row>
    <row r="35" spans="1:12" ht="30.75" x14ac:dyDescent="0.25">
      <c r="A35" s="207"/>
      <c r="B35" s="229"/>
      <c r="C35" s="237"/>
      <c r="D35" s="209"/>
      <c r="E35" s="210"/>
      <c r="F35" s="219"/>
      <c r="G35" s="207"/>
      <c r="H35" s="229"/>
      <c r="I35" s="237"/>
      <c r="J35" s="231"/>
      <c r="K35" s="210"/>
      <c r="L35" s="219"/>
    </row>
    <row r="36" spans="1:12" ht="30.75" x14ac:dyDescent="0.25">
      <c r="A36" s="207"/>
      <c r="B36" s="229" t="s">
        <v>152</v>
      </c>
      <c r="C36" s="208">
        <v>29</v>
      </c>
      <c r="D36" s="209" t="s">
        <v>145</v>
      </c>
      <c r="E36" s="210"/>
      <c r="F36" s="238"/>
      <c r="G36" s="207"/>
      <c r="H36" s="229" t="s">
        <v>152</v>
      </c>
      <c r="I36" s="208">
        <v>8</v>
      </c>
      <c r="J36" s="231" t="str">
        <f>D36</f>
        <v>чел</v>
      </c>
      <c r="K36" s="210"/>
      <c r="L36" s="238"/>
    </row>
    <row r="37" spans="1:12" ht="30" x14ac:dyDescent="0.25">
      <c r="A37" s="213">
        <v>1</v>
      </c>
      <c r="B37" s="214" t="s">
        <v>95</v>
      </c>
      <c r="C37" s="215" t="s">
        <v>57</v>
      </c>
      <c r="D37" s="214"/>
      <c r="E37" s="210">
        <f>82.5-20</f>
        <v>62.5</v>
      </c>
      <c r="F37" s="218"/>
      <c r="G37" s="213">
        <f>A37</f>
        <v>1</v>
      </c>
      <c r="H37" s="214" t="s">
        <v>95</v>
      </c>
      <c r="I37" s="215" t="s">
        <v>57</v>
      </c>
      <c r="J37" s="214"/>
      <c r="K37" s="210">
        <f>82.5-20</f>
        <v>62.5</v>
      </c>
      <c r="L37" s="217"/>
    </row>
    <row r="38" spans="1:12" ht="30" x14ac:dyDescent="0.25">
      <c r="A38" s="213">
        <f>A37+1</f>
        <v>2</v>
      </c>
      <c r="B38" s="214" t="s">
        <v>96</v>
      </c>
      <c r="C38" s="215" t="s">
        <v>33</v>
      </c>
      <c r="D38" s="214"/>
      <c r="E38" s="210">
        <v>34.700000000000003</v>
      </c>
      <c r="F38" s="218"/>
      <c r="G38" s="213">
        <f>A38</f>
        <v>2</v>
      </c>
      <c r="H38" s="214" t="s">
        <v>96</v>
      </c>
      <c r="I38" s="215" t="s">
        <v>34</v>
      </c>
      <c r="J38" s="214"/>
      <c r="K38" s="210">
        <v>43.7</v>
      </c>
      <c r="L38" s="217"/>
    </row>
    <row r="39" spans="1:12" ht="30" x14ac:dyDescent="0.25">
      <c r="A39" s="213"/>
      <c r="B39" s="214"/>
      <c r="C39" s="215"/>
      <c r="D39" s="214"/>
      <c r="E39" s="210"/>
      <c r="F39" s="218"/>
      <c r="G39" s="213"/>
      <c r="H39" s="214"/>
      <c r="I39" s="215"/>
      <c r="J39" s="214"/>
      <c r="K39" s="210"/>
      <c r="L39" s="217"/>
    </row>
    <row r="40" spans="1:12" ht="30.75" x14ac:dyDescent="0.25">
      <c r="A40" s="240"/>
      <c r="B40" s="214"/>
      <c r="C40" s="215"/>
      <c r="D40" s="215"/>
      <c r="E40" s="210"/>
      <c r="F40" s="241"/>
      <c r="G40" s="207"/>
      <c r="H40" s="214"/>
      <c r="I40" s="215"/>
      <c r="J40" s="215"/>
      <c r="K40" s="210"/>
      <c r="L40" s="219"/>
    </row>
    <row r="41" spans="1:12" ht="30.75" x14ac:dyDescent="0.25">
      <c r="A41" s="207"/>
      <c r="B41" s="220" t="s">
        <v>0</v>
      </c>
      <c r="C41" s="221"/>
      <c r="D41" s="222"/>
      <c r="E41" s="210">
        <v>97.2</v>
      </c>
      <c r="F41" s="223">
        <f>89.6-E41</f>
        <v>-7.6000000000000085</v>
      </c>
      <c r="G41" s="207"/>
      <c r="H41" s="235" t="str">
        <f>B41</f>
        <v>Итого:</v>
      </c>
      <c r="I41" s="221"/>
      <c r="J41" s="221"/>
      <c r="K41" s="210">
        <v>106.2</v>
      </c>
      <c r="L41" s="223">
        <f>98.6-K41</f>
        <v>-7.6000000000000085</v>
      </c>
    </row>
    <row r="42" spans="1:12" ht="27.75" x14ac:dyDescent="0.25">
      <c r="A42" s="240"/>
      <c r="B42" s="242"/>
      <c r="C42" s="242"/>
      <c r="D42" s="242"/>
      <c r="E42" s="243"/>
      <c r="F42" s="241"/>
      <c r="G42" s="244"/>
      <c r="H42" s="242"/>
      <c r="I42" s="242"/>
      <c r="J42" s="242"/>
      <c r="K42" s="245"/>
      <c r="L42" s="241"/>
    </row>
    <row r="43" spans="1:12" ht="26.25" x14ac:dyDescent="0.25">
      <c r="A43" s="246"/>
      <c r="B43" s="247"/>
      <c r="C43" s="248"/>
      <c r="D43" s="247"/>
      <c r="E43" s="249"/>
      <c r="F43" s="250"/>
      <c r="G43" s="251"/>
      <c r="H43" s="247"/>
      <c r="I43" s="248"/>
      <c r="J43" s="247"/>
      <c r="K43" s="249"/>
      <c r="L43" s="250"/>
    </row>
    <row r="44" spans="1:12" ht="30.75" x14ac:dyDescent="0.25">
      <c r="A44" s="207"/>
      <c r="B44" s="252" t="s">
        <v>71</v>
      </c>
      <c r="C44" s="222"/>
      <c r="D44" s="253" t="s">
        <v>72</v>
      </c>
      <c r="E44" s="254"/>
      <c r="F44" s="211"/>
      <c r="G44" s="212"/>
      <c r="H44" s="252" t="str">
        <f>B44</f>
        <v>Бухгалтер</v>
      </c>
      <c r="I44" s="222"/>
      <c r="J44" s="253" t="str">
        <f>D44</f>
        <v>Гудым Д.С.</v>
      </c>
      <c r="K44" s="254"/>
      <c r="L44" s="211"/>
    </row>
    <row r="45" spans="1:12" ht="31.5" thickBot="1" x14ac:dyDescent="0.3">
      <c r="A45" s="255"/>
      <c r="B45" s="256" t="s">
        <v>154</v>
      </c>
      <c r="C45" s="257"/>
      <c r="D45" s="258" t="s">
        <v>74</v>
      </c>
      <c r="E45" s="259"/>
      <c r="F45" s="260"/>
      <c r="G45" s="255"/>
      <c r="H45" s="256" t="str">
        <f>B45</f>
        <v>Зав.производством</v>
      </c>
      <c r="I45" s="257"/>
      <c r="J45" s="261" t="str">
        <f>D45</f>
        <v>Катанцева Я.В.</v>
      </c>
      <c r="K45" s="259"/>
      <c r="L45" s="260"/>
    </row>
    <row r="46" spans="1:12" ht="22.5" x14ac:dyDescent="0.25">
      <c r="A46" s="262"/>
      <c r="B46" s="263"/>
      <c r="C46" s="263"/>
      <c r="D46" s="263"/>
      <c r="E46" s="262"/>
      <c r="F46" s="262"/>
      <c r="G46" s="263"/>
      <c r="H46" s="263"/>
      <c r="I46" s="263"/>
      <c r="J46" s="263"/>
      <c r="K46" s="262"/>
      <c r="L46" s="262"/>
    </row>
    <row r="47" spans="1:12" ht="22.5" x14ac:dyDescent="0.25">
      <c r="A47" s="262"/>
      <c r="B47" s="263"/>
      <c r="C47" s="263"/>
      <c r="D47" s="263"/>
      <c r="E47" s="262"/>
      <c r="F47" s="262"/>
      <c r="G47" s="263"/>
      <c r="H47" s="263"/>
      <c r="I47" s="263"/>
      <c r="J47" s="263"/>
      <c r="K47" s="262"/>
      <c r="L47" s="262"/>
    </row>
    <row r="48" spans="1:12" ht="22.5" x14ac:dyDescent="0.25">
      <c r="A48" s="262"/>
      <c r="B48" s="263"/>
      <c r="C48" s="263"/>
      <c r="D48" s="263"/>
      <c r="E48" s="262"/>
      <c r="F48" s="262"/>
      <c r="G48" s="263"/>
      <c r="H48" s="263"/>
      <c r="I48" s="263"/>
      <c r="J48" s="263"/>
      <c r="K48" s="262"/>
      <c r="L48" s="262"/>
    </row>
    <row r="49" spans="1:12" ht="30" x14ac:dyDescent="0.25">
      <c r="A49" s="262"/>
      <c r="B49" s="214"/>
      <c r="C49" s="215"/>
      <c r="D49" s="215"/>
      <c r="E49" s="215"/>
      <c r="F49" s="262"/>
      <c r="G49" s="263"/>
      <c r="H49" s="263"/>
      <c r="I49" s="263"/>
      <c r="J49" s="263"/>
      <c r="K49" s="262"/>
      <c r="L49" s="262"/>
    </row>
  </sheetData>
  <mergeCells count="22">
    <mergeCell ref="C9:E9"/>
    <mergeCell ref="I9:K9"/>
    <mergeCell ref="A6:B6"/>
    <mergeCell ref="C6:F6"/>
    <mergeCell ref="G6:H6"/>
    <mergeCell ref="I6:L6"/>
    <mergeCell ref="C7:F7"/>
    <mergeCell ref="I7:L7"/>
    <mergeCell ref="A3:B3"/>
    <mergeCell ref="E3:F3"/>
    <mergeCell ref="G3:H3"/>
    <mergeCell ref="K3:L3"/>
    <mergeCell ref="A4:B4"/>
    <mergeCell ref="E4:F4"/>
    <mergeCell ref="G4:H4"/>
    <mergeCell ref="K4:L4"/>
    <mergeCell ref="A1:B1"/>
    <mergeCell ref="E1:F2"/>
    <mergeCell ref="G1:H1"/>
    <mergeCell ref="K1:L2"/>
    <mergeCell ref="A2:B2"/>
    <mergeCell ref="G2:H2"/>
  </mergeCells>
  <pageMargins left="0.7" right="0.7" top="0.75" bottom="0.75" header="0.3" footer="0.3"/>
  <pageSetup paperSize="9" scale="35" orientation="portrait" r:id="rId1"/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37"/>
  <sheetViews>
    <sheetView view="pageBreakPreview" zoomScale="40" zoomScaleNormal="60" zoomScaleSheetLayoutView="40" workbookViewId="0">
      <selection activeCell="M30" sqref="M30:N31"/>
    </sheetView>
  </sheetViews>
  <sheetFormatPr defaultRowHeight="18.75" x14ac:dyDescent="0.3"/>
  <cols>
    <col min="1" max="2" width="25.7109375" style="80" customWidth="1"/>
    <col min="3" max="3" width="15.7109375" style="80" customWidth="1"/>
    <col min="4" max="4" width="83.28515625" style="80" customWidth="1"/>
    <col min="5" max="5" width="25.7109375" style="80" customWidth="1"/>
    <col min="6" max="6" width="27.42578125" style="80" customWidth="1"/>
    <col min="7" max="7" width="22.7109375" style="80" customWidth="1"/>
    <col min="8" max="8" width="24.5703125" style="80" customWidth="1"/>
    <col min="9" max="9" width="36.5703125" style="80" customWidth="1"/>
    <col min="10" max="11" width="25.7109375" style="80" customWidth="1"/>
    <col min="12" max="12" width="15.7109375" style="80" customWidth="1"/>
    <col min="13" max="13" width="82.28515625" style="80" customWidth="1"/>
    <col min="14" max="14" width="25.7109375" style="80" customWidth="1"/>
    <col min="15" max="15" width="25.5703125" style="80" customWidth="1"/>
    <col min="16" max="16" width="26.42578125" style="80" customWidth="1"/>
    <col min="17" max="17" width="23.42578125" style="80" customWidth="1"/>
    <col min="18" max="18" width="40.42578125" style="80" customWidth="1"/>
  </cols>
  <sheetData>
    <row r="1" spans="1:18" ht="30" customHeight="1" x14ac:dyDescent="0.45">
      <c r="A1" s="83" t="s">
        <v>40</v>
      </c>
      <c r="B1" s="83"/>
      <c r="C1" s="84"/>
      <c r="D1" s="84"/>
      <c r="E1" s="85"/>
      <c r="F1" s="299" t="s">
        <v>41</v>
      </c>
      <c r="G1" s="299"/>
      <c r="H1" s="299"/>
      <c r="I1" s="299"/>
      <c r="J1" s="83" t="s">
        <v>40</v>
      </c>
      <c r="K1" s="83"/>
      <c r="L1" s="84"/>
      <c r="M1" s="84"/>
      <c r="N1" s="85"/>
      <c r="O1" s="299" t="s">
        <v>41</v>
      </c>
      <c r="P1" s="299"/>
      <c r="Q1" s="299"/>
      <c r="R1" s="299"/>
    </row>
    <row r="2" spans="1:18" ht="42" customHeight="1" x14ac:dyDescent="0.45">
      <c r="A2" s="83" t="s">
        <v>42</v>
      </c>
      <c r="B2" s="83"/>
      <c r="C2" s="86"/>
      <c r="D2" s="86"/>
      <c r="E2" s="85"/>
      <c r="F2" s="299"/>
      <c r="G2" s="299"/>
      <c r="H2" s="299"/>
      <c r="I2" s="299"/>
      <c r="J2" s="83" t="s">
        <v>42</v>
      </c>
      <c r="K2" s="83"/>
      <c r="L2" s="86"/>
      <c r="M2" s="86"/>
      <c r="N2" s="85"/>
      <c r="O2" s="299"/>
      <c r="P2" s="299"/>
      <c r="Q2" s="299"/>
      <c r="R2" s="299"/>
    </row>
    <row r="3" spans="1:18" ht="42" customHeight="1" x14ac:dyDescent="0.45">
      <c r="A3" s="84" t="s">
        <v>44</v>
      </c>
      <c r="B3" s="84"/>
      <c r="C3" s="84"/>
      <c r="D3" s="84"/>
      <c r="E3" s="85"/>
      <c r="F3" s="298" t="s">
        <v>75</v>
      </c>
      <c r="G3" s="298"/>
      <c r="H3" s="298"/>
      <c r="I3" s="298"/>
      <c r="J3" s="84" t="s">
        <v>44</v>
      </c>
      <c r="K3" s="84"/>
      <c r="L3" s="84"/>
      <c r="M3" s="84"/>
      <c r="N3" s="85"/>
      <c r="O3" s="298" t="s">
        <v>75</v>
      </c>
      <c r="P3" s="298"/>
      <c r="Q3" s="298"/>
      <c r="R3" s="298"/>
    </row>
    <row r="4" spans="1:18" ht="30" customHeight="1" x14ac:dyDescent="0.45">
      <c r="A4" s="84" t="s">
        <v>45</v>
      </c>
      <c r="B4" s="84"/>
      <c r="C4" s="84"/>
      <c r="D4" s="84"/>
      <c r="E4" s="85"/>
      <c r="F4" s="84" t="s">
        <v>45</v>
      </c>
      <c r="G4" s="84"/>
      <c r="H4" s="87"/>
      <c r="I4" s="87"/>
      <c r="J4" s="84" t="s">
        <v>45</v>
      </c>
      <c r="K4" s="84"/>
      <c r="L4" s="84"/>
      <c r="M4" s="84"/>
      <c r="N4" s="85"/>
      <c r="O4" s="84" t="s">
        <v>45</v>
      </c>
      <c r="P4" s="84"/>
      <c r="Q4" s="87"/>
      <c r="R4" s="87"/>
    </row>
    <row r="5" spans="1:18" ht="30" customHeight="1" x14ac:dyDescent="0.5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</row>
    <row r="6" spans="1:18" ht="30" customHeight="1" x14ac:dyDescent="0.45">
      <c r="A6" s="302" t="s">
        <v>46</v>
      </c>
      <c r="B6" s="302"/>
      <c r="C6" s="301" t="s">
        <v>47</v>
      </c>
      <c r="D6" s="301"/>
      <c r="E6" s="301"/>
      <c r="F6" s="301"/>
      <c r="G6" s="301"/>
      <c r="H6" s="301"/>
      <c r="I6" s="301"/>
      <c r="J6" s="302" t="s">
        <v>46</v>
      </c>
      <c r="K6" s="302"/>
      <c r="L6" s="301" t="s">
        <v>47</v>
      </c>
      <c r="M6" s="301"/>
      <c r="N6" s="301"/>
      <c r="O6" s="301"/>
      <c r="P6" s="301"/>
      <c r="Q6" s="301"/>
      <c r="R6" s="301"/>
    </row>
    <row r="7" spans="1:18" ht="30" customHeight="1" x14ac:dyDescent="0.45">
      <c r="A7" s="89"/>
      <c r="B7" s="89"/>
      <c r="C7" s="301" t="s">
        <v>48</v>
      </c>
      <c r="D7" s="301"/>
      <c r="E7" s="301"/>
      <c r="F7" s="301"/>
      <c r="G7" s="301"/>
      <c r="H7" s="301"/>
      <c r="I7" s="301"/>
      <c r="J7" s="89"/>
      <c r="K7" s="89"/>
      <c r="L7" s="301" t="s">
        <v>48</v>
      </c>
      <c r="M7" s="301"/>
      <c r="N7" s="301"/>
      <c r="O7" s="301"/>
      <c r="P7" s="301"/>
      <c r="Q7" s="301"/>
      <c r="R7" s="301"/>
    </row>
    <row r="8" spans="1:18" ht="30" customHeight="1" x14ac:dyDescent="0.45">
      <c r="A8" s="89"/>
      <c r="B8" s="89"/>
      <c r="C8" s="90"/>
      <c r="D8" s="90"/>
      <c r="E8" s="90"/>
      <c r="F8" s="90"/>
      <c r="G8" s="90"/>
      <c r="H8" s="90"/>
      <c r="I8" s="90"/>
      <c r="J8" s="89"/>
      <c r="K8" s="89"/>
      <c r="L8" s="90"/>
      <c r="M8" s="90"/>
      <c r="N8" s="90"/>
      <c r="O8" s="90"/>
      <c r="P8" s="90"/>
      <c r="Q8" s="90"/>
      <c r="R8" s="90"/>
    </row>
    <row r="9" spans="1:18" ht="30" customHeight="1" x14ac:dyDescent="0.25">
      <c r="A9" s="91" t="s">
        <v>49</v>
      </c>
      <c r="B9" s="91"/>
      <c r="C9" s="91"/>
      <c r="D9" s="91"/>
      <c r="E9" s="181" t="s">
        <v>50</v>
      </c>
      <c r="F9" s="91"/>
      <c r="G9" s="91"/>
      <c r="H9" s="91"/>
      <c r="I9" s="91"/>
      <c r="J9" s="91" t="s">
        <v>49</v>
      </c>
      <c r="K9" s="91"/>
      <c r="L9" s="91"/>
      <c r="M9" s="91"/>
      <c r="N9" s="181" t="s">
        <v>50</v>
      </c>
      <c r="O9" s="91"/>
      <c r="P9" s="91"/>
      <c r="Q9" s="91"/>
      <c r="R9" s="91"/>
    </row>
    <row r="10" spans="1:18" ht="30" customHeight="1" thickBot="1" x14ac:dyDescent="0.3">
      <c r="A10" s="92"/>
      <c r="B10" s="92"/>
      <c r="C10" s="92"/>
      <c r="D10" s="92"/>
      <c r="E10" s="92"/>
      <c r="F10" s="92"/>
      <c r="G10" s="92"/>
      <c r="H10" s="93"/>
      <c r="I10" s="93"/>
      <c r="J10" s="92"/>
      <c r="K10" s="92"/>
      <c r="L10" s="92"/>
      <c r="M10" s="92"/>
      <c r="N10" s="92"/>
      <c r="O10" s="92"/>
      <c r="P10" s="92"/>
      <c r="Q10" s="93"/>
      <c r="R10" s="93"/>
    </row>
    <row r="11" spans="1:18" ht="30" customHeight="1" thickBot="1" x14ac:dyDescent="0.45">
      <c r="A11" s="94" t="s">
        <v>28</v>
      </c>
      <c r="B11" s="300" t="s">
        <v>27</v>
      </c>
      <c r="C11" s="300"/>
      <c r="D11" s="300"/>
      <c r="E11" s="300"/>
      <c r="F11" s="95" t="s">
        <v>26</v>
      </c>
      <c r="G11" s="95" t="s">
        <v>25</v>
      </c>
      <c r="H11" s="95" t="s">
        <v>24</v>
      </c>
      <c r="I11" s="96">
        <v>44655</v>
      </c>
      <c r="J11" s="94" t="s">
        <v>28</v>
      </c>
      <c r="K11" s="300" t="s">
        <v>27</v>
      </c>
      <c r="L11" s="300"/>
      <c r="M11" s="300"/>
      <c r="N11" s="300"/>
      <c r="O11" s="95" t="s">
        <v>26</v>
      </c>
      <c r="P11" s="95" t="s">
        <v>29</v>
      </c>
      <c r="Q11" s="95" t="s">
        <v>24</v>
      </c>
      <c r="R11" s="96">
        <f>I11</f>
        <v>44655</v>
      </c>
    </row>
    <row r="12" spans="1:18" s="100" customFormat="1" ht="35.25" customHeight="1" thickBot="1" x14ac:dyDescent="0.3">
      <c r="A12" s="97" t="s">
        <v>23</v>
      </c>
      <c r="B12" s="98" t="s">
        <v>22</v>
      </c>
      <c r="C12" s="98" t="s">
        <v>51</v>
      </c>
      <c r="D12" s="98" t="s">
        <v>21</v>
      </c>
      <c r="E12" s="98" t="s">
        <v>20</v>
      </c>
      <c r="F12" s="98" t="s">
        <v>19</v>
      </c>
      <c r="G12" s="98" t="s">
        <v>18</v>
      </c>
      <c r="H12" s="98" t="s">
        <v>17</v>
      </c>
      <c r="I12" s="99" t="s">
        <v>16</v>
      </c>
      <c r="J12" s="97" t="s">
        <v>23</v>
      </c>
      <c r="K12" s="98" t="s">
        <v>22</v>
      </c>
      <c r="L12" s="98" t="s">
        <v>51</v>
      </c>
      <c r="M12" s="98" t="s">
        <v>21</v>
      </c>
      <c r="N12" s="98" t="s">
        <v>20</v>
      </c>
      <c r="O12" s="98" t="s">
        <v>19</v>
      </c>
      <c r="P12" s="98" t="s">
        <v>18</v>
      </c>
      <c r="Q12" s="98" t="s">
        <v>17</v>
      </c>
      <c r="R12" s="99" t="s">
        <v>16</v>
      </c>
    </row>
    <row r="13" spans="1:18" s="109" customFormat="1" ht="30" customHeight="1" x14ac:dyDescent="0.25">
      <c r="A13" s="101" t="s">
        <v>15</v>
      </c>
      <c r="B13" s="102" t="s">
        <v>38</v>
      </c>
      <c r="C13" s="103">
        <v>32</v>
      </c>
      <c r="D13" s="104" t="s">
        <v>98</v>
      </c>
      <c r="E13" s="105" t="s">
        <v>8</v>
      </c>
      <c r="F13" s="106">
        <v>6</v>
      </c>
      <c r="G13" s="106">
        <v>6</v>
      </c>
      <c r="H13" s="106">
        <v>32</v>
      </c>
      <c r="I13" s="108">
        <v>194</v>
      </c>
      <c r="J13" s="101" t="s">
        <v>15</v>
      </c>
      <c r="K13" s="102" t="s">
        <v>38</v>
      </c>
      <c r="L13" s="103">
        <v>81</v>
      </c>
      <c r="M13" s="104" t="s">
        <v>99</v>
      </c>
      <c r="N13" s="105" t="s">
        <v>78</v>
      </c>
      <c r="O13" s="106">
        <f>6/20*22</f>
        <v>6.6</v>
      </c>
      <c r="P13" s="106">
        <f>6/20*22</f>
        <v>6.6</v>
      </c>
      <c r="Q13" s="106">
        <f>32/20*22</f>
        <v>35.200000000000003</v>
      </c>
      <c r="R13" s="108">
        <f>194/20*22</f>
        <v>213.39999999999998</v>
      </c>
    </row>
    <row r="14" spans="1:18" s="118" customFormat="1" ht="33.75" customHeight="1" x14ac:dyDescent="0.25">
      <c r="A14" s="110"/>
      <c r="B14" s="111" t="s">
        <v>14</v>
      </c>
      <c r="C14" s="112">
        <f t="shared" ref="C14" si="0">C13</f>
        <v>32</v>
      </c>
      <c r="D14" s="113" t="s">
        <v>13</v>
      </c>
      <c r="E14" s="114" t="s">
        <v>12</v>
      </c>
      <c r="F14" s="115">
        <v>2.2999999999999998</v>
      </c>
      <c r="G14" s="115">
        <v>0.9</v>
      </c>
      <c r="H14" s="115">
        <v>15.4</v>
      </c>
      <c r="I14" s="116">
        <v>78.599999999999994</v>
      </c>
      <c r="J14" s="110"/>
      <c r="K14" s="111" t="s">
        <v>14</v>
      </c>
      <c r="L14" s="112">
        <f t="shared" ref="L14" si="1">L13</f>
        <v>81</v>
      </c>
      <c r="M14" s="113" t="s">
        <v>13</v>
      </c>
      <c r="N14" s="114" t="s">
        <v>12</v>
      </c>
      <c r="O14" s="115">
        <v>2.2999999999999998</v>
      </c>
      <c r="P14" s="115">
        <v>0.9</v>
      </c>
      <c r="Q14" s="115">
        <v>15.4</v>
      </c>
      <c r="R14" s="117">
        <v>78.599999999999994</v>
      </c>
    </row>
    <row r="15" spans="1:18" s="118" customFormat="1" ht="33.75" customHeight="1" x14ac:dyDescent="0.4">
      <c r="A15" s="110"/>
      <c r="B15" s="119" t="s">
        <v>79</v>
      </c>
      <c r="C15" s="120">
        <f>C14</f>
        <v>32</v>
      </c>
      <c r="D15" s="113" t="s">
        <v>80</v>
      </c>
      <c r="E15" s="114" t="s">
        <v>81</v>
      </c>
      <c r="F15" s="115">
        <v>0.1</v>
      </c>
      <c r="G15" s="115">
        <v>7.3</v>
      </c>
      <c r="H15" s="115">
        <v>0.1</v>
      </c>
      <c r="I15" s="116">
        <v>66.099999999999994</v>
      </c>
      <c r="J15" s="110"/>
      <c r="K15" s="119" t="s">
        <v>79</v>
      </c>
      <c r="L15" s="120">
        <f>L14</f>
        <v>81</v>
      </c>
      <c r="M15" s="113" t="s">
        <v>80</v>
      </c>
      <c r="N15" s="114" t="s">
        <v>81</v>
      </c>
      <c r="O15" s="115">
        <v>0.1</v>
      </c>
      <c r="P15" s="115">
        <v>7.3</v>
      </c>
      <c r="Q15" s="115">
        <v>0.1</v>
      </c>
      <c r="R15" s="117">
        <v>66.099999999999994</v>
      </c>
    </row>
    <row r="16" spans="1:18" s="118" customFormat="1" ht="33.75" customHeight="1" x14ac:dyDescent="0.25">
      <c r="A16" s="110"/>
      <c r="B16" s="111" t="s">
        <v>1</v>
      </c>
      <c r="C16" s="112">
        <f>C15</f>
        <v>32</v>
      </c>
      <c r="D16" s="113" t="s">
        <v>35</v>
      </c>
      <c r="E16" s="114" t="s">
        <v>8</v>
      </c>
      <c r="F16" s="121">
        <v>0.4</v>
      </c>
      <c r="G16" s="121">
        <v>0.1</v>
      </c>
      <c r="H16" s="121">
        <v>21.6</v>
      </c>
      <c r="I16" s="122">
        <v>83.4</v>
      </c>
      <c r="J16" s="110"/>
      <c r="K16" s="111" t="s">
        <v>1</v>
      </c>
      <c r="L16" s="112">
        <f>L15</f>
        <v>81</v>
      </c>
      <c r="M16" s="113" t="s">
        <v>35</v>
      </c>
      <c r="N16" s="114" t="s">
        <v>8</v>
      </c>
      <c r="O16" s="121">
        <v>0.4</v>
      </c>
      <c r="P16" s="121">
        <v>0.1</v>
      </c>
      <c r="Q16" s="121">
        <v>21.6</v>
      </c>
      <c r="R16" s="122">
        <v>83.4</v>
      </c>
    </row>
    <row r="17" spans="1:18" s="118" customFormat="1" ht="33.75" customHeight="1" x14ac:dyDescent="0.25">
      <c r="A17" s="110"/>
      <c r="B17" s="111" t="s">
        <v>83</v>
      </c>
      <c r="C17" s="112">
        <f>C16</f>
        <v>32</v>
      </c>
      <c r="D17" s="113" t="s">
        <v>84</v>
      </c>
      <c r="E17" s="114" t="s">
        <v>81</v>
      </c>
      <c r="F17" s="115">
        <v>2.2999999999999998</v>
      </c>
      <c r="G17" s="115">
        <v>2.9</v>
      </c>
      <c r="H17" s="115">
        <v>0</v>
      </c>
      <c r="I17" s="116">
        <v>35</v>
      </c>
      <c r="J17" s="110"/>
      <c r="K17" s="111" t="s">
        <v>83</v>
      </c>
      <c r="L17" s="112">
        <f>L16</f>
        <v>81</v>
      </c>
      <c r="M17" s="113" t="s">
        <v>84</v>
      </c>
      <c r="N17" s="114" t="s">
        <v>81</v>
      </c>
      <c r="O17" s="115">
        <v>2.2999999999999998</v>
      </c>
      <c r="P17" s="115">
        <v>2.9</v>
      </c>
      <c r="Q17" s="115">
        <v>0</v>
      </c>
      <c r="R17" s="117">
        <v>35</v>
      </c>
    </row>
    <row r="18" spans="1:18" s="118" customFormat="1" ht="33.75" customHeight="1" x14ac:dyDescent="0.4">
      <c r="A18" s="123"/>
      <c r="B18" s="119"/>
      <c r="C18" s="120"/>
      <c r="D18" s="113"/>
      <c r="E18" s="114"/>
      <c r="F18" s="115"/>
      <c r="G18" s="115"/>
      <c r="H18" s="115"/>
      <c r="I18" s="116"/>
      <c r="J18" s="110"/>
      <c r="K18" s="111"/>
      <c r="L18" s="112"/>
      <c r="M18" s="113"/>
      <c r="N18" s="114"/>
      <c r="O18" s="115"/>
      <c r="P18" s="115"/>
      <c r="Q18" s="115"/>
      <c r="R18" s="117"/>
    </row>
    <row r="19" spans="1:18" s="118" customFormat="1" ht="36" customHeight="1" thickBot="1" x14ac:dyDescent="0.3">
      <c r="A19" s="131"/>
      <c r="B19" s="125"/>
      <c r="C19" s="126"/>
      <c r="D19" s="127"/>
      <c r="E19" s="128"/>
      <c r="F19" s="129"/>
      <c r="G19" s="129"/>
      <c r="H19" s="129"/>
      <c r="I19" s="130"/>
      <c r="J19" s="124"/>
      <c r="K19" s="125"/>
      <c r="L19" s="126"/>
      <c r="M19" s="127"/>
      <c r="N19" s="128"/>
      <c r="O19" s="129"/>
      <c r="P19" s="129"/>
      <c r="Q19" s="129"/>
      <c r="R19" s="130"/>
    </row>
    <row r="20" spans="1:18" s="118" customFormat="1" ht="36" customHeight="1" thickBot="1" x14ac:dyDescent="0.3">
      <c r="A20" s="295" t="s">
        <v>0</v>
      </c>
      <c r="B20" s="296"/>
      <c r="C20" s="297"/>
      <c r="D20" s="132"/>
      <c r="E20" s="133"/>
      <c r="F20" s="134">
        <f>SUM(F13:F19)</f>
        <v>11.100000000000001</v>
      </c>
      <c r="G20" s="134">
        <f t="shared" ref="G20:I20" si="2">SUM(G13:G19)</f>
        <v>17.2</v>
      </c>
      <c r="H20" s="134">
        <f t="shared" si="2"/>
        <v>69.099999999999994</v>
      </c>
      <c r="I20" s="135">
        <f t="shared" si="2"/>
        <v>457.1</v>
      </c>
      <c r="J20" s="295" t="s">
        <v>0</v>
      </c>
      <c r="K20" s="296"/>
      <c r="L20" s="297"/>
      <c r="M20" s="132"/>
      <c r="N20" s="133"/>
      <c r="O20" s="134">
        <f>SUM(O13:O19)</f>
        <v>11.7</v>
      </c>
      <c r="P20" s="134">
        <f t="shared" ref="P20:R20" si="3">SUM(P13:P19)</f>
        <v>17.8</v>
      </c>
      <c r="Q20" s="134">
        <f t="shared" si="3"/>
        <v>72.300000000000011</v>
      </c>
      <c r="R20" s="135">
        <f t="shared" si="3"/>
        <v>476.5</v>
      </c>
    </row>
    <row r="21" spans="1:18" s="109" customFormat="1" ht="66" customHeight="1" x14ac:dyDescent="0.25">
      <c r="A21" s="101" t="s">
        <v>11</v>
      </c>
      <c r="B21" s="102" t="s">
        <v>30</v>
      </c>
      <c r="C21" s="103">
        <v>32</v>
      </c>
      <c r="D21" s="104" t="s">
        <v>101</v>
      </c>
      <c r="E21" s="105" t="s">
        <v>64</v>
      </c>
      <c r="F21" s="106">
        <f>9.6/1.5</f>
        <v>6.3999999999999995</v>
      </c>
      <c r="G21" s="106">
        <f>20.3/1.5</f>
        <v>13.533333333333333</v>
      </c>
      <c r="H21" s="106">
        <f>28.1/1.5</f>
        <v>18.733333333333334</v>
      </c>
      <c r="I21" s="108">
        <f>329.8/1.5</f>
        <v>219.86666666666667</v>
      </c>
      <c r="J21" s="101" t="s">
        <v>11</v>
      </c>
      <c r="K21" s="102" t="s">
        <v>30</v>
      </c>
      <c r="L21" s="103">
        <v>84</v>
      </c>
      <c r="M21" s="104" t="s">
        <v>101</v>
      </c>
      <c r="N21" s="105" t="s">
        <v>64</v>
      </c>
      <c r="O21" s="106">
        <f>9.6/1.5</f>
        <v>6.3999999999999995</v>
      </c>
      <c r="P21" s="106">
        <f>20.3/1.5</f>
        <v>13.533333333333333</v>
      </c>
      <c r="Q21" s="106">
        <f>28.1/1.5</f>
        <v>18.733333333333334</v>
      </c>
      <c r="R21" s="108">
        <f>329.8/1.5</f>
        <v>219.86666666666667</v>
      </c>
    </row>
    <row r="22" spans="1:18" s="80" customFormat="1" ht="30" customHeight="1" x14ac:dyDescent="0.4">
      <c r="A22" s="136"/>
      <c r="B22" s="119" t="s">
        <v>10</v>
      </c>
      <c r="C22" s="120">
        <f t="shared" ref="C22:C27" si="4">C21</f>
        <v>32</v>
      </c>
      <c r="D22" s="113" t="s">
        <v>102</v>
      </c>
      <c r="E22" s="114" t="s">
        <v>36</v>
      </c>
      <c r="F22" s="121">
        <f>7.8/30*25</f>
        <v>6.5</v>
      </c>
      <c r="G22" s="121">
        <f>1.5/30*25</f>
        <v>1.25</v>
      </c>
      <c r="H22" s="121">
        <f>13.5/30*25</f>
        <v>11.25</v>
      </c>
      <c r="I22" s="122">
        <f>101.4/30*25</f>
        <v>84.500000000000014</v>
      </c>
      <c r="J22" s="136"/>
      <c r="K22" s="119" t="s">
        <v>10</v>
      </c>
      <c r="L22" s="120">
        <f t="shared" ref="L22:L27" si="5">L21</f>
        <v>84</v>
      </c>
      <c r="M22" s="113" t="s">
        <v>102</v>
      </c>
      <c r="N22" s="114" t="s">
        <v>36</v>
      </c>
      <c r="O22" s="121">
        <f>7.8/30*25</f>
        <v>6.5</v>
      </c>
      <c r="P22" s="121">
        <f>1.5/30*25</f>
        <v>1.25</v>
      </c>
      <c r="Q22" s="121">
        <f>13.5/30*25</f>
        <v>11.25</v>
      </c>
      <c r="R22" s="122">
        <f>101.4/30*25</f>
        <v>84.500000000000014</v>
      </c>
    </row>
    <row r="23" spans="1:18" s="80" customFormat="1" ht="30" customHeight="1" x14ac:dyDescent="0.4">
      <c r="A23" s="136"/>
      <c r="B23" s="119" t="s">
        <v>9</v>
      </c>
      <c r="C23" s="120">
        <f t="shared" si="4"/>
        <v>32</v>
      </c>
      <c r="D23" s="113" t="s">
        <v>88</v>
      </c>
      <c r="E23" s="114" t="s">
        <v>89</v>
      </c>
      <c r="F23" s="115">
        <f>24.6/2</f>
        <v>12.3</v>
      </c>
      <c r="G23" s="115">
        <f>36.4/2</f>
        <v>18.2</v>
      </c>
      <c r="H23" s="115">
        <f>79.6/2</f>
        <v>39.799999999999997</v>
      </c>
      <c r="I23" s="117">
        <f>724.8/2</f>
        <v>362.4</v>
      </c>
      <c r="J23" s="136"/>
      <c r="K23" s="119" t="s">
        <v>9</v>
      </c>
      <c r="L23" s="120">
        <f t="shared" si="5"/>
        <v>84</v>
      </c>
      <c r="M23" s="113" t="s">
        <v>88</v>
      </c>
      <c r="N23" s="114" t="s">
        <v>90</v>
      </c>
      <c r="O23" s="115">
        <f>24.6/2*1.2</f>
        <v>14.76</v>
      </c>
      <c r="P23" s="115">
        <f>36.4/2*1.2</f>
        <v>21.84</v>
      </c>
      <c r="Q23" s="115">
        <f>79.6/2*1.2</f>
        <v>47.76</v>
      </c>
      <c r="R23" s="117">
        <f>724.8/2*1.2</f>
        <v>434.87999999999994</v>
      </c>
    </row>
    <row r="24" spans="1:18" s="80" customFormat="1" ht="30" customHeight="1" x14ac:dyDescent="0.4">
      <c r="A24" s="136"/>
      <c r="B24" s="119" t="s">
        <v>91</v>
      </c>
      <c r="C24" s="120">
        <f t="shared" si="4"/>
        <v>32</v>
      </c>
      <c r="D24" s="113" t="s">
        <v>93</v>
      </c>
      <c r="E24" s="114" t="s">
        <v>31</v>
      </c>
      <c r="F24" s="121">
        <f>7.2/2*1.5</f>
        <v>5.4</v>
      </c>
      <c r="G24" s="121">
        <f>4.4/2*1.5</f>
        <v>3.3000000000000003</v>
      </c>
      <c r="H24" s="121">
        <f>34.2/2*1.5</f>
        <v>25.650000000000002</v>
      </c>
      <c r="I24" s="122">
        <f>197.4/2*1.5</f>
        <v>148.05000000000001</v>
      </c>
      <c r="J24" s="136"/>
      <c r="K24" s="119" t="s">
        <v>91</v>
      </c>
      <c r="L24" s="120">
        <f t="shared" si="5"/>
        <v>84</v>
      </c>
      <c r="M24" s="113" t="s">
        <v>93</v>
      </c>
      <c r="N24" s="114" t="s">
        <v>32</v>
      </c>
      <c r="O24" s="121">
        <f>7.2/2*1.8</f>
        <v>6.48</v>
      </c>
      <c r="P24" s="121">
        <f>4.4/2*1.8</f>
        <v>3.9600000000000004</v>
      </c>
      <c r="Q24" s="121">
        <f>34.2/2*1.8</f>
        <v>30.780000000000005</v>
      </c>
      <c r="R24" s="122">
        <f>197.4/2*1.8</f>
        <v>177.66</v>
      </c>
    </row>
    <row r="25" spans="1:18" s="118" customFormat="1" ht="33.75" customHeight="1" x14ac:dyDescent="0.25">
      <c r="A25" s="110"/>
      <c r="B25" s="111" t="s">
        <v>1</v>
      </c>
      <c r="C25" s="112">
        <f t="shared" si="4"/>
        <v>32</v>
      </c>
      <c r="D25" s="113" t="s">
        <v>94</v>
      </c>
      <c r="E25" s="114" t="s">
        <v>8</v>
      </c>
      <c r="F25" s="121">
        <v>0.9</v>
      </c>
      <c r="G25" s="121">
        <v>0.1</v>
      </c>
      <c r="H25" s="121">
        <v>32</v>
      </c>
      <c r="I25" s="122">
        <v>131.80000000000001</v>
      </c>
      <c r="J25" s="110"/>
      <c r="K25" s="111" t="s">
        <v>1</v>
      </c>
      <c r="L25" s="112">
        <f t="shared" si="5"/>
        <v>84</v>
      </c>
      <c r="M25" s="113" t="s">
        <v>94</v>
      </c>
      <c r="N25" s="114" t="s">
        <v>8</v>
      </c>
      <c r="O25" s="121">
        <v>0.9</v>
      </c>
      <c r="P25" s="121">
        <v>0.1</v>
      </c>
      <c r="Q25" s="121">
        <v>32</v>
      </c>
      <c r="R25" s="122">
        <v>131.80000000000001</v>
      </c>
    </row>
    <row r="26" spans="1:18" s="137" customFormat="1" ht="33.75" customHeight="1" x14ac:dyDescent="0.25">
      <c r="A26" s="110"/>
      <c r="B26" s="111" t="s">
        <v>7</v>
      </c>
      <c r="C26" s="112">
        <f t="shared" si="4"/>
        <v>32</v>
      </c>
      <c r="D26" s="113" t="s">
        <v>6</v>
      </c>
      <c r="E26" s="114" t="s">
        <v>3</v>
      </c>
      <c r="F26" s="115">
        <f t="shared" ref="F26:I26" si="6">F25/2</f>
        <v>0.45</v>
      </c>
      <c r="G26" s="115">
        <f t="shared" si="6"/>
        <v>0.05</v>
      </c>
      <c r="H26" s="115">
        <f t="shared" si="6"/>
        <v>16</v>
      </c>
      <c r="I26" s="117">
        <f t="shared" si="6"/>
        <v>65.900000000000006</v>
      </c>
      <c r="J26" s="110"/>
      <c r="K26" s="111" t="s">
        <v>7</v>
      </c>
      <c r="L26" s="112">
        <f t="shared" si="5"/>
        <v>84</v>
      </c>
      <c r="M26" s="113" t="s">
        <v>6</v>
      </c>
      <c r="N26" s="114" t="s">
        <v>3</v>
      </c>
      <c r="O26" s="115">
        <f t="shared" ref="O26:R26" si="7">O25/2</f>
        <v>0.45</v>
      </c>
      <c r="P26" s="115">
        <f t="shared" si="7"/>
        <v>0.05</v>
      </c>
      <c r="Q26" s="115">
        <f t="shared" si="7"/>
        <v>16</v>
      </c>
      <c r="R26" s="117">
        <f t="shared" si="7"/>
        <v>65.900000000000006</v>
      </c>
    </row>
    <row r="27" spans="1:18" s="118" customFormat="1" ht="30" customHeight="1" x14ac:dyDescent="0.25">
      <c r="A27" s="110"/>
      <c r="B27" s="111" t="s">
        <v>5</v>
      </c>
      <c r="C27" s="112">
        <f t="shared" si="4"/>
        <v>32</v>
      </c>
      <c r="D27" s="113" t="s">
        <v>4</v>
      </c>
      <c r="E27" s="114" t="s">
        <v>3</v>
      </c>
      <c r="F27" s="121">
        <v>2.6</v>
      </c>
      <c r="G27" s="121">
        <v>1</v>
      </c>
      <c r="H27" s="121">
        <v>12.8</v>
      </c>
      <c r="I27" s="122">
        <v>77.7</v>
      </c>
      <c r="J27" s="110"/>
      <c r="K27" s="111" t="s">
        <v>5</v>
      </c>
      <c r="L27" s="112">
        <f t="shared" si="5"/>
        <v>84</v>
      </c>
      <c r="M27" s="113" t="s">
        <v>4</v>
      </c>
      <c r="N27" s="114" t="s">
        <v>3</v>
      </c>
      <c r="O27" s="121">
        <v>2.6</v>
      </c>
      <c r="P27" s="121">
        <v>1</v>
      </c>
      <c r="Q27" s="121">
        <v>12.8</v>
      </c>
      <c r="R27" s="122">
        <v>77.7</v>
      </c>
    </row>
    <row r="28" spans="1:18" s="118" customFormat="1" ht="30" customHeight="1" thickBot="1" x14ac:dyDescent="0.3">
      <c r="A28" s="124"/>
      <c r="B28" s="125"/>
      <c r="C28" s="126"/>
      <c r="D28" s="127"/>
      <c r="E28" s="128"/>
      <c r="F28" s="129"/>
      <c r="G28" s="129"/>
      <c r="H28" s="129"/>
      <c r="I28" s="130"/>
      <c r="J28" s="124"/>
      <c r="K28" s="125"/>
      <c r="L28" s="126"/>
      <c r="M28" s="127"/>
      <c r="N28" s="128"/>
      <c r="O28" s="129"/>
      <c r="P28" s="129"/>
      <c r="Q28" s="129"/>
      <c r="R28" s="130"/>
    </row>
    <row r="29" spans="1:18" s="118" customFormat="1" ht="30" customHeight="1" thickBot="1" x14ac:dyDescent="0.3">
      <c r="A29" s="289" t="s">
        <v>0</v>
      </c>
      <c r="B29" s="290"/>
      <c r="C29" s="291"/>
      <c r="D29" s="141"/>
      <c r="E29" s="142"/>
      <c r="F29" s="143">
        <f>SUM(F21:F28)</f>
        <v>34.549999999999997</v>
      </c>
      <c r="G29" s="143">
        <f>SUM(G21:G28)</f>
        <v>37.43333333333333</v>
      </c>
      <c r="H29" s="143">
        <f>SUM(H21:H28)</f>
        <v>156.23333333333335</v>
      </c>
      <c r="I29" s="144">
        <f>SUM(I21:I28)</f>
        <v>1090.2166666666665</v>
      </c>
      <c r="J29" s="289" t="s">
        <v>0</v>
      </c>
      <c r="K29" s="290"/>
      <c r="L29" s="291"/>
      <c r="M29" s="141"/>
      <c r="N29" s="142"/>
      <c r="O29" s="143">
        <f>SUM(O21:O28)</f>
        <v>38.090000000000003</v>
      </c>
      <c r="P29" s="143">
        <f>SUM(P21:P28)</f>
        <v>41.733333333333334</v>
      </c>
      <c r="Q29" s="143">
        <f>SUM(Q21:Q28)</f>
        <v>169.32333333333335</v>
      </c>
      <c r="R29" s="144">
        <f>SUM(R21:R28)</f>
        <v>1192.3066666666668</v>
      </c>
    </row>
    <row r="30" spans="1:18" s="118" customFormat="1" ht="30" customHeight="1" x14ac:dyDescent="0.4">
      <c r="A30" s="101" t="s">
        <v>2</v>
      </c>
      <c r="B30" s="120" t="s">
        <v>1</v>
      </c>
      <c r="C30" s="145">
        <v>30</v>
      </c>
      <c r="D30" s="113" t="s">
        <v>95</v>
      </c>
      <c r="E30" s="114" t="s">
        <v>57</v>
      </c>
      <c r="F30" s="115">
        <v>1.4</v>
      </c>
      <c r="G30" s="115">
        <v>0.2</v>
      </c>
      <c r="H30" s="115">
        <v>26.4</v>
      </c>
      <c r="I30" s="117">
        <v>120</v>
      </c>
      <c r="J30" s="101" t="s">
        <v>2</v>
      </c>
      <c r="K30" s="120" t="s">
        <v>1</v>
      </c>
      <c r="L30" s="145">
        <v>8</v>
      </c>
      <c r="M30" s="113" t="s">
        <v>95</v>
      </c>
      <c r="N30" s="114" t="s">
        <v>57</v>
      </c>
      <c r="O30" s="115">
        <v>1.4</v>
      </c>
      <c r="P30" s="115">
        <v>0.2</v>
      </c>
      <c r="Q30" s="115">
        <v>26.4</v>
      </c>
      <c r="R30" s="117">
        <v>120</v>
      </c>
    </row>
    <row r="31" spans="1:18" s="80" customFormat="1" ht="30" customHeight="1" x14ac:dyDescent="0.4">
      <c r="A31" s="136"/>
      <c r="B31" s="119" t="s">
        <v>97</v>
      </c>
      <c r="C31" s="120">
        <f>C30</f>
        <v>30</v>
      </c>
      <c r="D31" s="113" t="s">
        <v>103</v>
      </c>
      <c r="E31" s="114" t="s">
        <v>33</v>
      </c>
      <c r="F31" s="121">
        <f>11.3/8*7</f>
        <v>9.8875000000000011</v>
      </c>
      <c r="G31" s="121">
        <f>12.2/8*7</f>
        <v>10.674999999999999</v>
      </c>
      <c r="H31" s="121">
        <f>40.9/8*7</f>
        <v>35.787500000000001</v>
      </c>
      <c r="I31" s="122">
        <f>315.6/8*7</f>
        <v>276.15000000000003</v>
      </c>
      <c r="J31" s="136"/>
      <c r="K31" s="119" t="s">
        <v>97</v>
      </c>
      <c r="L31" s="120">
        <f>L30</f>
        <v>8</v>
      </c>
      <c r="M31" s="113" t="s">
        <v>103</v>
      </c>
      <c r="N31" s="114" t="s">
        <v>34</v>
      </c>
      <c r="O31" s="121">
        <f>11.3/8*9</f>
        <v>12.7125</v>
      </c>
      <c r="P31" s="121">
        <f>12.2/8*9</f>
        <v>13.725</v>
      </c>
      <c r="Q31" s="121">
        <f>40.9/8*9</f>
        <v>46.012499999999996</v>
      </c>
      <c r="R31" s="122">
        <f>315.6/8*9</f>
        <v>355.05</v>
      </c>
    </row>
    <row r="32" spans="1:18" s="118" customFormat="1" ht="30" customHeight="1" thickBot="1" x14ac:dyDescent="0.45">
      <c r="A32" s="124"/>
      <c r="B32" s="126"/>
      <c r="C32" s="146"/>
      <c r="D32" s="127"/>
      <c r="E32" s="128"/>
      <c r="F32" s="129"/>
      <c r="G32" s="139"/>
      <c r="H32" s="139"/>
      <c r="I32" s="140"/>
      <c r="J32" s="124"/>
      <c r="K32" s="138"/>
      <c r="L32" s="120"/>
      <c r="M32" s="127"/>
      <c r="N32" s="128"/>
      <c r="O32" s="139"/>
      <c r="P32" s="139"/>
      <c r="Q32" s="139"/>
      <c r="R32" s="140"/>
    </row>
    <row r="33" spans="1:18" s="147" customFormat="1" ht="30" customHeight="1" thickBot="1" x14ac:dyDescent="0.3">
      <c r="A33" s="289" t="s">
        <v>0</v>
      </c>
      <c r="B33" s="290"/>
      <c r="C33" s="291"/>
      <c r="D33" s="141"/>
      <c r="E33" s="142"/>
      <c r="F33" s="143">
        <f>SUM(F30:F32)</f>
        <v>11.287500000000001</v>
      </c>
      <c r="G33" s="143">
        <f>SUM(G30:G32)</f>
        <v>10.874999999999998</v>
      </c>
      <c r="H33" s="143">
        <f>SUM(H30:H32)</f>
        <v>62.1875</v>
      </c>
      <c r="I33" s="144">
        <f>SUM(I30:I32)</f>
        <v>396.15000000000003</v>
      </c>
      <c r="J33" s="292" t="s">
        <v>0</v>
      </c>
      <c r="K33" s="293"/>
      <c r="L33" s="294"/>
      <c r="M33" s="141"/>
      <c r="N33" s="142"/>
      <c r="O33" s="143">
        <f>SUM(O30:O32)</f>
        <v>14.112500000000001</v>
      </c>
      <c r="P33" s="143">
        <f>SUM(P30:P32)</f>
        <v>13.924999999999999</v>
      </c>
      <c r="Q33" s="143">
        <f>SUM(Q30:Q32)</f>
        <v>72.412499999999994</v>
      </c>
      <c r="R33" s="144">
        <f>SUM(R30:R32)</f>
        <v>475.05</v>
      </c>
    </row>
    <row r="34" spans="1:18" s="149" customFormat="1" ht="24.95" customHeight="1" x14ac:dyDescent="0.25">
      <c r="A34" s="148"/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</row>
    <row r="35" spans="1:18" s="155" customFormat="1" ht="24.95" customHeight="1" x14ac:dyDescent="0.5">
      <c r="A35" s="150"/>
      <c r="B35" s="88"/>
      <c r="C35" s="88"/>
      <c r="D35" s="151" t="s">
        <v>71</v>
      </c>
      <c r="E35" s="152"/>
      <c r="F35" s="153" t="s">
        <v>72</v>
      </c>
      <c r="G35" s="153"/>
      <c r="H35" s="154"/>
      <c r="I35" s="150"/>
      <c r="J35" s="150"/>
      <c r="K35" s="88"/>
      <c r="L35" s="88"/>
      <c r="M35" s="151" t="s">
        <v>71</v>
      </c>
      <c r="N35" s="152"/>
      <c r="O35" s="153" t="s">
        <v>72</v>
      </c>
      <c r="P35" s="153"/>
      <c r="Q35" s="84"/>
      <c r="R35" s="150"/>
    </row>
    <row r="36" spans="1:18" s="157" customFormat="1" ht="24.95" customHeight="1" x14ac:dyDescent="0.5">
      <c r="A36" s="150"/>
      <c r="B36" s="88"/>
      <c r="C36" s="88"/>
      <c r="D36" s="151"/>
      <c r="E36" s="152"/>
      <c r="F36" s="153"/>
      <c r="G36" s="153"/>
      <c r="H36" s="156"/>
      <c r="I36" s="88"/>
      <c r="J36" s="150"/>
      <c r="K36" s="88"/>
      <c r="L36" s="88"/>
      <c r="M36" s="151"/>
      <c r="N36" s="152"/>
      <c r="O36" s="153"/>
      <c r="P36" s="153"/>
      <c r="Q36" s="156"/>
      <c r="R36" s="88"/>
    </row>
    <row r="37" spans="1:18" s="88" customFormat="1" ht="24.95" customHeight="1" x14ac:dyDescent="0.5">
      <c r="A37" s="150"/>
      <c r="D37" s="151" t="s">
        <v>73</v>
      </c>
      <c r="E37" s="152"/>
      <c r="F37" s="158" t="s">
        <v>74</v>
      </c>
      <c r="G37" s="158"/>
      <c r="J37" s="150"/>
      <c r="M37" s="151" t="s">
        <v>73</v>
      </c>
      <c r="N37" s="152"/>
      <c r="O37" s="158" t="s">
        <v>74</v>
      </c>
      <c r="P37" s="158"/>
    </row>
  </sheetData>
  <mergeCells count="18">
    <mergeCell ref="F3:I3"/>
    <mergeCell ref="O3:R3"/>
    <mergeCell ref="F1:I2"/>
    <mergeCell ref="O1:R2"/>
    <mergeCell ref="B11:E11"/>
    <mergeCell ref="K11:N11"/>
    <mergeCell ref="C7:I7"/>
    <mergeCell ref="L7:R7"/>
    <mergeCell ref="J6:K6"/>
    <mergeCell ref="L6:R6"/>
    <mergeCell ref="A6:B6"/>
    <mergeCell ref="C6:I6"/>
    <mergeCell ref="A33:C33"/>
    <mergeCell ref="J33:L33"/>
    <mergeCell ref="A29:C29"/>
    <mergeCell ref="J29:L29"/>
    <mergeCell ref="A20:C20"/>
    <mergeCell ref="J20:L20"/>
  </mergeCells>
  <pageMargins left="0.7" right="0.7" top="0.75" bottom="0.75" header="0.3" footer="0.3"/>
  <pageSetup paperSize="9" scale="39" orientation="landscape" r:id="rId1"/>
  <colBreaks count="1" manualBreakCount="1">
    <brk id="9" max="3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view="pageBreakPreview" topLeftCell="A10" zoomScale="40" zoomScaleNormal="40" zoomScaleSheetLayoutView="40" workbookViewId="0">
      <selection activeCell="B49" sqref="B49:E54"/>
    </sheetView>
  </sheetViews>
  <sheetFormatPr defaultRowHeight="23.25" x14ac:dyDescent="0.25"/>
  <cols>
    <col min="1" max="1" width="5.28515625" style="264" customWidth="1"/>
    <col min="2" max="2" width="90.28515625" style="265" customWidth="1"/>
    <col min="3" max="3" width="20" style="265" customWidth="1"/>
    <col min="4" max="4" width="11.7109375" style="265" customWidth="1"/>
    <col min="5" max="6" width="60.7109375" style="264" customWidth="1"/>
    <col min="7" max="7" width="5.7109375" style="265" customWidth="1"/>
    <col min="8" max="8" width="95.7109375" style="265" customWidth="1"/>
    <col min="9" max="9" width="18.5703125" style="265" customWidth="1"/>
    <col min="10" max="10" width="12" style="265" customWidth="1"/>
    <col min="11" max="11" width="60.7109375" style="264" customWidth="1"/>
    <col min="12" max="12" width="55" style="264" customWidth="1"/>
  </cols>
  <sheetData>
    <row r="1" spans="1:12" ht="33.75" customHeight="1" x14ac:dyDescent="0.25">
      <c r="A1" s="303" t="s">
        <v>40</v>
      </c>
      <c r="B1" s="303"/>
      <c r="C1" s="86"/>
      <c r="D1" s="86"/>
      <c r="E1" s="304" t="s">
        <v>41</v>
      </c>
      <c r="F1" s="304"/>
      <c r="G1" s="303" t="s">
        <v>40</v>
      </c>
      <c r="H1" s="303"/>
      <c r="I1" s="86"/>
      <c r="J1" s="86"/>
      <c r="K1" s="304" t="s">
        <v>41</v>
      </c>
      <c r="L1" s="304"/>
    </row>
    <row r="2" spans="1:12" ht="92.25" customHeight="1" x14ac:dyDescent="0.25">
      <c r="A2" s="305" t="s">
        <v>42</v>
      </c>
      <c r="B2" s="305"/>
      <c r="C2" s="86"/>
      <c r="D2" s="86"/>
      <c r="E2" s="304"/>
      <c r="F2" s="304"/>
      <c r="G2" s="305" t="s">
        <v>42</v>
      </c>
      <c r="H2" s="305"/>
      <c r="I2" s="86"/>
      <c r="J2" s="86"/>
      <c r="K2" s="304"/>
      <c r="L2" s="304"/>
    </row>
    <row r="3" spans="1:12" ht="33.75" customHeight="1" x14ac:dyDescent="0.25">
      <c r="A3" s="303" t="s">
        <v>139</v>
      </c>
      <c r="B3" s="303"/>
      <c r="C3" s="86"/>
      <c r="D3" s="86"/>
      <c r="E3" s="304" t="s">
        <v>75</v>
      </c>
      <c r="F3" s="304"/>
      <c r="G3" s="303" t="s">
        <v>139</v>
      </c>
      <c r="H3" s="303"/>
      <c r="I3" s="86"/>
      <c r="J3" s="86"/>
      <c r="K3" s="304" t="s">
        <v>75</v>
      </c>
      <c r="L3" s="304"/>
    </row>
    <row r="4" spans="1:12" ht="33" x14ac:dyDescent="0.25">
      <c r="A4" s="306" t="s">
        <v>45</v>
      </c>
      <c r="B4" s="306"/>
      <c r="C4" s="86"/>
      <c r="D4" s="86"/>
      <c r="E4" s="306" t="s">
        <v>45</v>
      </c>
      <c r="F4" s="306"/>
      <c r="G4" s="306" t="s">
        <v>45</v>
      </c>
      <c r="H4" s="306"/>
      <c r="I4" s="86"/>
      <c r="J4" s="86"/>
      <c r="K4" s="306" t="s">
        <v>45</v>
      </c>
      <c r="L4" s="306"/>
    </row>
    <row r="5" spans="1:12" ht="33.75" x14ac:dyDescent="0.25">
      <c r="A5" s="182"/>
      <c r="B5" s="182"/>
      <c r="C5" s="182"/>
      <c r="D5" s="182"/>
      <c r="E5" s="86"/>
      <c r="F5" s="86"/>
      <c r="G5" s="182"/>
      <c r="H5" s="182"/>
      <c r="I5" s="182"/>
      <c r="J5" s="182"/>
      <c r="K5" s="86"/>
      <c r="L5" s="86"/>
    </row>
    <row r="6" spans="1:12" ht="87.75" customHeight="1" x14ac:dyDescent="0.25">
      <c r="A6" s="308" t="s">
        <v>46</v>
      </c>
      <c r="B6" s="308"/>
      <c r="C6" s="309" t="s">
        <v>47</v>
      </c>
      <c r="D6" s="309"/>
      <c r="E6" s="309"/>
      <c r="F6" s="309"/>
      <c r="G6" s="308" t="s">
        <v>46</v>
      </c>
      <c r="H6" s="308"/>
      <c r="I6" s="309" t="s">
        <v>47</v>
      </c>
      <c r="J6" s="309"/>
      <c r="K6" s="309"/>
      <c r="L6" s="309"/>
    </row>
    <row r="7" spans="1:12" ht="33" customHeight="1" x14ac:dyDescent="0.25">
      <c r="A7" s="183"/>
      <c r="B7" s="183"/>
      <c r="C7" s="309" t="s">
        <v>48</v>
      </c>
      <c r="D7" s="309"/>
      <c r="E7" s="309"/>
      <c r="F7" s="309"/>
      <c r="G7" s="183"/>
      <c r="H7" s="183"/>
      <c r="I7" s="309" t="s">
        <v>48</v>
      </c>
      <c r="J7" s="309"/>
      <c r="K7" s="309"/>
      <c r="L7" s="309"/>
    </row>
    <row r="8" spans="1:12" ht="33" x14ac:dyDescent="0.25">
      <c r="A8" s="183"/>
      <c r="B8" s="183"/>
      <c r="C8" s="184"/>
      <c r="D8" s="184"/>
      <c r="E8" s="184"/>
      <c r="F8" s="184"/>
      <c r="G8" s="183"/>
      <c r="H8" s="183"/>
      <c r="I8" s="184"/>
      <c r="J8" s="184"/>
      <c r="K8" s="184"/>
      <c r="L8" s="184"/>
    </row>
    <row r="9" spans="1:12" ht="44.25" customHeight="1" x14ac:dyDescent="0.25">
      <c r="A9" s="185" t="s">
        <v>49</v>
      </c>
      <c r="B9" s="185"/>
      <c r="C9" s="307" t="s">
        <v>140</v>
      </c>
      <c r="D9" s="307"/>
      <c r="E9" s="307"/>
      <c r="F9" s="185"/>
      <c r="G9" s="185" t="s">
        <v>49</v>
      </c>
      <c r="H9" s="185"/>
      <c r="I9" s="307" t="s">
        <v>141</v>
      </c>
      <c r="J9" s="307"/>
      <c r="K9" s="307"/>
      <c r="L9" s="185"/>
    </row>
    <row r="10" spans="1:12" ht="28.5" thickBot="1" x14ac:dyDescent="0.3">
      <c r="A10" s="75"/>
      <c r="B10" s="186"/>
      <c r="C10" s="187"/>
      <c r="D10" s="187"/>
      <c r="E10" s="188"/>
      <c r="F10" s="75"/>
      <c r="G10" s="75"/>
      <c r="H10" s="186"/>
      <c r="I10" s="189"/>
      <c r="J10" s="189"/>
      <c r="K10" s="188"/>
      <c r="L10" s="75"/>
    </row>
    <row r="11" spans="1:12" ht="81.75" customHeight="1" thickBot="1" x14ac:dyDescent="0.3">
      <c r="A11" s="190"/>
      <c r="B11" s="191"/>
      <c r="C11" s="192" t="s">
        <v>142</v>
      </c>
      <c r="D11" s="192"/>
      <c r="E11" s="193" t="s">
        <v>143</v>
      </c>
      <c r="F11" s="194">
        <v>44655</v>
      </c>
      <c r="G11" s="195"/>
      <c r="H11" s="191"/>
      <c r="I11" s="192" t="str">
        <f>C11</f>
        <v>Выход, гр</v>
      </c>
      <c r="J11" s="192"/>
      <c r="K11" s="193" t="str">
        <f>E11</f>
        <v>Цена Продажная</v>
      </c>
      <c r="L11" s="196">
        <f>F11</f>
        <v>44655</v>
      </c>
    </row>
    <row r="12" spans="1:12" ht="33" customHeight="1" x14ac:dyDescent="0.25">
      <c r="A12" s="197"/>
      <c r="B12" s="198"/>
      <c r="C12" s="199"/>
      <c r="D12" s="198"/>
      <c r="E12" s="200"/>
      <c r="F12" s="201"/>
      <c r="G12" s="202"/>
      <c r="H12" s="203"/>
      <c r="I12" s="204"/>
      <c r="J12" s="203"/>
      <c r="K12" s="205"/>
      <c r="L12" s="206"/>
    </row>
    <row r="13" spans="1:12" ht="30.75" x14ac:dyDescent="0.25">
      <c r="A13" s="207"/>
      <c r="B13" s="208" t="s">
        <v>144</v>
      </c>
      <c r="C13" s="208">
        <v>32</v>
      </c>
      <c r="D13" s="209" t="s">
        <v>145</v>
      </c>
      <c r="E13" s="210"/>
      <c r="F13" s="211"/>
      <c r="G13" s="212"/>
      <c r="H13" s="208" t="str">
        <f>B13</f>
        <v>ЗАВТРАК</v>
      </c>
      <c r="I13" s="208">
        <v>81</v>
      </c>
      <c r="J13" s="209" t="str">
        <f>D13</f>
        <v>чел</v>
      </c>
      <c r="K13" s="210"/>
      <c r="L13" s="211"/>
    </row>
    <row r="14" spans="1:12" ht="30" x14ac:dyDescent="0.25">
      <c r="A14" s="213">
        <v>1</v>
      </c>
      <c r="B14" s="214" t="s">
        <v>98</v>
      </c>
      <c r="C14" s="215" t="s">
        <v>8</v>
      </c>
      <c r="D14" s="215"/>
      <c r="E14" s="210">
        <f>100-19.88-23</f>
        <v>57.120000000000005</v>
      </c>
      <c r="F14" s="216"/>
      <c r="G14" s="213">
        <v>1</v>
      </c>
      <c r="H14" s="214" t="s">
        <v>99</v>
      </c>
      <c r="I14" s="215" t="s">
        <v>78</v>
      </c>
      <c r="J14" s="214"/>
      <c r="K14" s="210">
        <f>100-19.88-23+10.4</f>
        <v>67.52000000000001</v>
      </c>
      <c r="L14" s="217"/>
    </row>
    <row r="15" spans="1:12" ht="30" x14ac:dyDescent="0.25">
      <c r="A15" s="213">
        <f>A14+1</f>
        <v>2</v>
      </c>
      <c r="B15" s="214" t="s">
        <v>13</v>
      </c>
      <c r="C15" s="215" t="s">
        <v>12</v>
      </c>
      <c r="D15" s="215"/>
      <c r="E15" s="210">
        <v>15</v>
      </c>
      <c r="F15" s="216"/>
      <c r="G15" s="213">
        <f>G14+1</f>
        <v>2</v>
      </c>
      <c r="H15" s="214" t="s">
        <v>13</v>
      </c>
      <c r="I15" s="215" t="s">
        <v>12</v>
      </c>
      <c r="J15" s="214"/>
      <c r="K15" s="210">
        <v>15</v>
      </c>
      <c r="L15" s="217"/>
    </row>
    <row r="16" spans="1:12" ht="30" x14ac:dyDescent="0.25">
      <c r="A16" s="213">
        <f>A15+1</f>
        <v>3</v>
      </c>
      <c r="B16" s="214" t="s">
        <v>80</v>
      </c>
      <c r="C16" s="215" t="s">
        <v>81</v>
      </c>
      <c r="D16" s="215"/>
      <c r="E16" s="210">
        <v>10.08</v>
      </c>
      <c r="F16" s="216"/>
      <c r="G16" s="213">
        <f>G15+1</f>
        <v>3</v>
      </c>
      <c r="H16" s="214" t="s">
        <v>80</v>
      </c>
      <c r="I16" s="215" t="s">
        <v>81</v>
      </c>
      <c r="J16" s="214"/>
      <c r="K16" s="210">
        <v>10.08</v>
      </c>
      <c r="L16" s="217"/>
    </row>
    <row r="17" spans="1:12" ht="30" x14ac:dyDescent="0.25">
      <c r="A17" s="213">
        <v>4</v>
      </c>
      <c r="B17" s="214" t="s">
        <v>35</v>
      </c>
      <c r="C17" s="215" t="s">
        <v>8</v>
      </c>
      <c r="D17" s="215"/>
      <c r="E17" s="210"/>
      <c r="F17" s="218"/>
      <c r="G17" s="213">
        <v>4</v>
      </c>
      <c r="H17" s="214" t="s">
        <v>35</v>
      </c>
      <c r="I17" s="215" t="s">
        <v>8</v>
      </c>
      <c r="J17" s="214"/>
      <c r="K17" s="210"/>
      <c r="L17" s="217"/>
    </row>
    <row r="18" spans="1:12" ht="26.25" customHeight="1" x14ac:dyDescent="0.25">
      <c r="A18" s="213">
        <v>5</v>
      </c>
      <c r="B18" s="214" t="s">
        <v>84</v>
      </c>
      <c r="C18" s="215" t="s">
        <v>81</v>
      </c>
      <c r="D18" s="215"/>
      <c r="E18" s="210"/>
      <c r="F18" s="218"/>
      <c r="G18" s="213">
        <v>5</v>
      </c>
      <c r="H18" s="214" t="s">
        <v>84</v>
      </c>
      <c r="I18" s="215" t="s">
        <v>81</v>
      </c>
      <c r="J18" s="214"/>
      <c r="K18" s="210"/>
      <c r="L18" s="217"/>
    </row>
    <row r="19" spans="1:12" ht="30" x14ac:dyDescent="0.25">
      <c r="A19" s="213"/>
      <c r="B19" s="214"/>
      <c r="C19" s="215"/>
      <c r="D19" s="215"/>
      <c r="E19" s="210"/>
      <c r="F19" s="219"/>
      <c r="G19" s="213"/>
      <c r="H19" s="214"/>
      <c r="I19" s="215"/>
      <c r="J19" s="214"/>
      <c r="K19" s="210"/>
      <c r="L19" s="219"/>
    </row>
    <row r="20" spans="1:12" ht="30" x14ac:dyDescent="0.25">
      <c r="A20" s="213"/>
      <c r="B20" s="214"/>
      <c r="C20" s="215"/>
      <c r="D20" s="215"/>
      <c r="E20" s="210"/>
      <c r="F20" s="219"/>
      <c r="G20" s="213"/>
      <c r="H20" s="214"/>
      <c r="I20" s="215"/>
      <c r="J20" s="215"/>
      <c r="K20" s="210"/>
      <c r="L20" s="219"/>
    </row>
    <row r="21" spans="1:12" ht="30.75" x14ac:dyDescent="0.25">
      <c r="A21" s="207"/>
      <c r="B21" s="220" t="s">
        <v>0</v>
      </c>
      <c r="C21" s="221"/>
      <c r="D21" s="222"/>
      <c r="E21" s="210">
        <v>115.2</v>
      </c>
      <c r="F21" s="223">
        <f>107.27-E21</f>
        <v>-7.9300000000000068</v>
      </c>
      <c r="G21" s="212"/>
      <c r="H21" s="220" t="s">
        <v>0</v>
      </c>
      <c r="I21" s="221"/>
      <c r="J21" s="222"/>
      <c r="K21" s="210">
        <v>138.6</v>
      </c>
      <c r="L21" s="223">
        <f>129.4-K21</f>
        <v>-9.1999999999999886</v>
      </c>
    </row>
    <row r="22" spans="1:12" ht="30.75" x14ac:dyDescent="0.25">
      <c r="A22" s="207"/>
      <c r="B22" s="224"/>
      <c r="C22" s="225"/>
      <c r="D22" s="224"/>
      <c r="E22" s="210"/>
      <c r="F22" s="217"/>
      <c r="G22" s="226"/>
      <c r="H22" s="224"/>
      <c r="I22" s="225"/>
      <c r="J22" s="227"/>
      <c r="K22" s="210"/>
      <c r="L22" s="228"/>
    </row>
    <row r="23" spans="1:12" ht="30.75" x14ac:dyDescent="0.25">
      <c r="A23" s="207"/>
      <c r="B23" s="229" t="s">
        <v>147</v>
      </c>
      <c r="C23" s="230" t="s">
        <v>159</v>
      </c>
      <c r="D23" s="209" t="s">
        <v>145</v>
      </c>
      <c r="E23" s="210"/>
      <c r="F23" s="219"/>
      <c r="G23" s="207"/>
      <c r="H23" s="229" t="s">
        <v>147</v>
      </c>
      <c r="I23" s="230" t="s">
        <v>158</v>
      </c>
      <c r="J23" s="231" t="str">
        <f>D23</f>
        <v>чел</v>
      </c>
      <c r="K23" s="210"/>
      <c r="L23" s="219"/>
    </row>
    <row r="24" spans="1:12" ht="62.25" customHeight="1" x14ac:dyDescent="0.25">
      <c r="A24" s="213">
        <f>A23+1</f>
        <v>1</v>
      </c>
      <c r="B24" s="288" t="s">
        <v>101</v>
      </c>
      <c r="C24" s="215" t="s">
        <v>64</v>
      </c>
      <c r="D24" s="215"/>
      <c r="E24" s="210">
        <v>20</v>
      </c>
      <c r="F24" s="232"/>
      <c r="G24" s="213">
        <f>G23+1</f>
        <v>1</v>
      </c>
      <c r="H24" s="288" t="s">
        <v>101</v>
      </c>
      <c r="I24" s="215" t="s">
        <v>64</v>
      </c>
      <c r="J24" s="214"/>
      <c r="K24" s="210">
        <v>20</v>
      </c>
      <c r="L24" s="232"/>
    </row>
    <row r="25" spans="1:12" ht="30" x14ac:dyDescent="0.25">
      <c r="A25" s="213">
        <f>A24+1</f>
        <v>2</v>
      </c>
      <c r="B25" s="214" t="s">
        <v>102</v>
      </c>
      <c r="C25" s="215" t="s">
        <v>36</v>
      </c>
      <c r="D25" s="215"/>
      <c r="E25" s="210">
        <v>80</v>
      </c>
      <c r="F25" s="232"/>
      <c r="G25" s="213">
        <f>G24+1</f>
        <v>2</v>
      </c>
      <c r="H25" s="214" t="s">
        <v>102</v>
      </c>
      <c r="I25" s="215" t="s">
        <v>36</v>
      </c>
      <c r="J25" s="214"/>
      <c r="K25" s="210">
        <v>80</v>
      </c>
      <c r="L25" s="232"/>
    </row>
    <row r="26" spans="1:12" ht="30" x14ac:dyDescent="0.25">
      <c r="A26" s="213">
        <f>A25+1</f>
        <v>3</v>
      </c>
      <c r="B26" s="214" t="s">
        <v>88</v>
      </c>
      <c r="C26" s="215" t="s">
        <v>89</v>
      </c>
      <c r="D26" s="215"/>
      <c r="E26" s="210">
        <f>69.6-7.5</f>
        <v>62.099999999999994</v>
      </c>
      <c r="F26" s="218"/>
      <c r="G26" s="213">
        <f>G25+1</f>
        <v>3</v>
      </c>
      <c r="H26" s="214" t="s">
        <v>88</v>
      </c>
      <c r="I26" s="215" t="s">
        <v>90</v>
      </c>
      <c r="J26" s="214"/>
      <c r="K26" s="210">
        <f>62.1*1.2-2.82</f>
        <v>71.7</v>
      </c>
      <c r="L26" s="218"/>
    </row>
    <row r="27" spans="1:12" ht="30.75" x14ac:dyDescent="0.25">
      <c r="A27" s="213">
        <f>A26+1</f>
        <v>4</v>
      </c>
      <c r="B27" s="214" t="s">
        <v>93</v>
      </c>
      <c r="C27" s="215" t="s">
        <v>31</v>
      </c>
      <c r="D27" s="215"/>
      <c r="E27" s="210">
        <v>15</v>
      </c>
      <c r="F27" s="228"/>
      <c r="G27" s="213">
        <f>G26+1</f>
        <v>4</v>
      </c>
      <c r="H27" s="214" t="s">
        <v>93</v>
      </c>
      <c r="I27" s="215" t="s">
        <v>32</v>
      </c>
      <c r="J27" s="214"/>
      <c r="K27" s="210">
        <v>18</v>
      </c>
      <c r="L27" s="218"/>
    </row>
    <row r="28" spans="1:12" ht="30.75" x14ac:dyDescent="0.25">
      <c r="A28" s="213">
        <f>A27+1</f>
        <v>5</v>
      </c>
      <c r="B28" s="214" t="s">
        <v>94</v>
      </c>
      <c r="C28" s="215" t="s">
        <v>8</v>
      </c>
      <c r="D28" s="215"/>
      <c r="E28" s="210">
        <v>20</v>
      </c>
      <c r="F28" s="228"/>
      <c r="G28" s="213">
        <f>G27+1</f>
        <v>5</v>
      </c>
      <c r="H28" s="214" t="s">
        <v>94</v>
      </c>
      <c r="I28" s="215" t="s">
        <v>8</v>
      </c>
      <c r="J28" s="214"/>
      <c r="K28" s="210">
        <v>20</v>
      </c>
      <c r="L28" s="218"/>
    </row>
    <row r="29" spans="1:12" ht="33" customHeight="1" x14ac:dyDescent="0.25">
      <c r="A29" s="213">
        <v>6</v>
      </c>
      <c r="B29" s="214" t="s">
        <v>6</v>
      </c>
      <c r="C29" s="215" t="s">
        <v>3</v>
      </c>
      <c r="D29" s="215"/>
      <c r="E29" s="210">
        <v>7.5</v>
      </c>
      <c r="F29" s="228"/>
      <c r="G29" s="213">
        <v>6</v>
      </c>
      <c r="H29" s="214" t="s">
        <v>6</v>
      </c>
      <c r="I29" s="215" t="s">
        <v>3</v>
      </c>
      <c r="J29" s="214"/>
      <c r="K29" s="210">
        <v>7.5</v>
      </c>
      <c r="L29" s="218"/>
    </row>
    <row r="30" spans="1:12" ht="28.5" customHeight="1" x14ac:dyDescent="0.25">
      <c r="A30" s="213">
        <v>7</v>
      </c>
      <c r="B30" s="214" t="s">
        <v>4</v>
      </c>
      <c r="C30" s="215" t="s">
        <v>3</v>
      </c>
      <c r="D30" s="215"/>
      <c r="E30" s="210"/>
      <c r="F30" s="228"/>
      <c r="G30" s="213">
        <v>7</v>
      </c>
      <c r="H30" s="214" t="s">
        <v>4</v>
      </c>
      <c r="I30" s="215" t="s">
        <v>3</v>
      </c>
      <c r="J30" s="214"/>
      <c r="K30" s="210"/>
      <c r="L30" s="218"/>
    </row>
    <row r="31" spans="1:12" ht="30.75" x14ac:dyDescent="0.25">
      <c r="A31" s="207"/>
      <c r="B31" s="214"/>
      <c r="C31" s="215"/>
      <c r="D31" s="215"/>
      <c r="E31" s="210"/>
      <c r="F31" s="228"/>
      <c r="G31" s="212"/>
      <c r="H31" s="214"/>
      <c r="I31" s="215"/>
      <c r="J31" s="214"/>
      <c r="K31" s="210"/>
      <c r="L31" s="228"/>
    </row>
    <row r="32" spans="1:12" ht="30.75" x14ac:dyDescent="0.25">
      <c r="A32" s="207"/>
      <c r="B32" s="233"/>
      <c r="C32" s="234"/>
      <c r="D32" s="222"/>
      <c r="E32" s="210"/>
      <c r="F32" s="228"/>
      <c r="G32" s="207"/>
      <c r="H32" s="233"/>
      <c r="I32" s="234"/>
      <c r="J32" s="221"/>
      <c r="K32" s="210"/>
      <c r="L32" s="228"/>
    </row>
    <row r="33" spans="1:12" ht="30.75" x14ac:dyDescent="0.25">
      <c r="A33" s="207"/>
      <c r="B33" s="235" t="s">
        <v>0</v>
      </c>
      <c r="C33" s="221"/>
      <c r="D33" s="222"/>
      <c r="E33" s="210">
        <v>210.6</v>
      </c>
      <c r="F33" s="223">
        <f>197.87-E33</f>
        <v>-12.72999999999999</v>
      </c>
      <c r="G33" s="207"/>
      <c r="H33" s="235" t="s">
        <v>0</v>
      </c>
      <c r="I33" s="221"/>
      <c r="J33" s="221"/>
      <c r="K33" s="210">
        <v>223.2</v>
      </c>
      <c r="L33" s="223">
        <f>209.73-K33</f>
        <v>-13.469999999999999</v>
      </c>
    </row>
    <row r="34" spans="1:12" ht="30.75" x14ac:dyDescent="0.25">
      <c r="A34" s="207"/>
      <c r="B34" s="227"/>
      <c r="C34" s="236"/>
      <c r="D34" s="222"/>
      <c r="E34" s="210"/>
      <c r="F34" s="228"/>
      <c r="G34" s="207"/>
      <c r="H34" s="227"/>
      <c r="I34" s="236"/>
      <c r="J34" s="221"/>
      <c r="K34" s="210"/>
      <c r="L34" s="228"/>
    </row>
    <row r="35" spans="1:12" ht="30.75" x14ac:dyDescent="0.25">
      <c r="A35" s="207"/>
      <c r="B35" s="229"/>
      <c r="C35" s="237"/>
      <c r="D35" s="209"/>
      <c r="E35" s="210"/>
      <c r="F35" s="219"/>
      <c r="G35" s="207"/>
      <c r="H35" s="229"/>
      <c r="I35" s="237"/>
      <c r="J35" s="231"/>
      <c r="K35" s="210"/>
      <c r="L35" s="219"/>
    </row>
    <row r="36" spans="1:12" ht="30.75" x14ac:dyDescent="0.25">
      <c r="A36" s="207"/>
      <c r="B36" s="229" t="s">
        <v>152</v>
      </c>
      <c r="C36" s="208">
        <v>30</v>
      </c>
      <c r="D36" s="209" t="s">
        <v>145</v>
      </c>
      <c r="E36" s="210"/>
      <c r="F36" s="238"/>
      <c r="G36" s="207"/>
      <c r="H36" s="229" t="s">
        <v>152</v>
      </c>
      <c r="I36" s="208">
        <v>8</v>
      </c>
      <c r="J36" s="231" t="str">
        <f>D36</f>
        <v>чел</v>
      </c>
      <c r="K36" s="210"/>
      <c r="L36" s="238"/>
    </row>
    <row r="37" spans="1:12" ht="30" x14ac:dyDescent="0.25">
      <c r="A37" s="213">
        <v>1</v>
      </c>
      <c r="B37" s="214" t="s">
        <v>95</v>
      </c>
      <c r="C37" s="215" t="s">
        <v>57</v>
      </c>
      <c r="D37" s="214"/>
      <c r="E37" s="210">
        <f>82.5-20</f>
        <v>62.5</v>
      </c>
      <c r="F37" s="218"/>
      <c r="G37" s="213">
        <f>A37</f>
        <v>1</v>
      </c>
      <c r="H37" s="214" t="s">
        <v>95</v>
      </c>
      <c r="I37" s="215" t="s">
        <v>57</v>
      </c>
      <c r="J37" s="215"/>
      <c r="K37" s="210">
        <f>82.5-20</f>
        <v>62.5</v>
      </c>
      <c r="L37" s="217"/>
    </row>
    <row r="38" spans="1:12" ht="30" x14ac:dyDescent="0.25">
      <c r="A38" s="213">
        <f>A37+1</f>
        <v>2</v>
      </c>
      <c r="B38" s="214" t="s">
        <v>103</v>
      </c>
      <c r="C38" s="215" t="s">
        <v>33</v>
      </c>
      <c r="D38" s="214"/>
      <c r="E38" s="210">
        <v>34.700000000000003</v>
      </c>
      <c r="F38" s="218"/>
      <c r="G38" s="213">
        <f>A38</f>
        <v>2</v>
      </c>
      <c r="H38" s="214" t="s">
        <v>103</v>
      </c>
      <c r="I38" s="215" t="s">
        <v>34</v>
      </c>
      <c r="J38" s="215"/>
      <c r="K38" s="210">
        <v>43.7</v>
      </c>
      <c r="L38" s="217"/>
    </row>
    <row r="39" spans="1:12" ht="30" x14ac:dyDescent="0.25">
      <c r="A39" s="213"/>
      <c r="B39" s="214"/>
      <c r="C39" s="239"/>
      <c r="D39" s="214"/>
      <c r="E39" s="210"/>
      <c r="F39" s="218"/>
      <c r="G39" s="213"/>
      <c r="H39" s="214"/>
      <c r="I39" s="215"/>
      <c r="J39" s="215"/>
      <c r="K39" s="210"/>
      <c r="L39" s="217"/>
    </row>
    <row r="40" spans="1:12" ht="30.75" x14ac:dyDescent="0.25">
      <c r="A40" s="240"/>
      <c r="B40" s="214"/>
      <c r="C40" s="215"/>
      <c r="D40" s="215"/>
      <c r="E40" s="210"/>
      <c r="F40" s="241"/>
      <c r="G40" s="207"/>
      <c r="H40" s="214"/>
      <c r="I40" s="215"/>
      <c r="J40" s="215"/>
      <c r="K40" s="210"/>
      <c r="L40" s="219"/>
    </row>
    <row r="41" spans="1:12" ht="30.75" x14ac:dyDescent="0.25">
      <c r="A41" s="207"/>
      <c r="B41" s="220" t="s">
        <v>0</v>
      </c>
      <c r="C41" s="221"/>
      <c r="D41" s="222"/>
      <c r="E41" s="210">
        <v>97.2</v>
      </c>
      <c r="F41" s="223">
        <f>89.6-E41</f>
        <v>-7.6000000000000085</v>
      </c>
      <c r="G41" s="207"/>
      <c r="H41" s="235" t="str">
        <f>B41</f>
        <v>Итого:</v>
      </c>
      <c r="I41" s="221"/>
      <c r="J41" s="221"/>
      <c r="K41" s="210">
        <v>106.2</v>
      </c>
      <c r="L41" s="223">
        <f>98.6-K41</f>
        <v>-7.6000000000000085</v>
      </c>
    </row>
    <row r="42" spans="1:12" ht="27.75" x14ac:dyDescent="0.25">
      <c r="A42" s="240"/>
      <c r="B42" s="242"/>
      <c r="C42" s="242"/>
      <c r="D42" s="242"/>
      <c r="E42" s="243"/>
      <c r="F42" s="241"/>
      <c r="G42" s="244"/>
      <c r="H42" s="242"/>
      <c r="I42" s="242"/>
      <c r="J42" s="242"/>
      <c r="K42" s="245"/>
      <c r="L42" s="241"/>
    </row>
    <row r="43" spans="1:12" ht="26.25" x14ac:dyDescent="0.25">
      <c r="A43" s="246"/>
      <c r="B43" s="247"/>
      <c r="C43" s="248"/>
      <c r="D43" s="247"/>
      <c r="E43" s="249"/>
      <c r="F43" s="250"/>
      <c r="G43" s="251"/>
      <c r="H43" s="247"/>
      <c r="I43" s="248"/>
      <c r="J43" s="247"/>
      <c r="K43" s="249"/>
      <c r="L43" s="250"/>
    </row>
    <row r="44" spans="1:12" ht="30.75" x14ac:dyDescent="0.25">
      <c r="A44" s="207"/>
      <c r="B44" s="252" t="s">
        <v>71</v>
      </c>
      <c r="C44" s="222"/>
      <c r="D44" s="253" t="s">
        <v>72</v>
      </c>
      <c r="E44" s="254"/>
      <c r="F44" s="211"/>
      <c r="G44" s="212"/>
      <c r="H44" s="252" t="str">
        <f>B44</f>
        <v>Бухгалтер</v>
      </c>
      <c r="I44" s="222"/>
      <c r="J44" s="253" t="str">
        <f>D44</f>
        <v>Гудым Д.С.</v>
      </c>
      <c r="K44" s="254"/>
      <c r="L44" s="211"/>
    </row>
    <row r="45" spans="1:12" ht="31.5" thickBot="1" x14ac:dyDescent="0.3">
      <c r="A45" s="255"/>
      <c r="B45" s="256" t="s">
        <v>154</v>
      </c>
      <c r="C45" s="257"/>
      <c r="D45" s="258" t="s">
        <v>74</v>
      </c>
      <c r="E45" s="259"/>
      <c r="F45" s="260"/>
      <c r="G45" s="255"/>
      <c r="H45" s="256" t="str">
        <f>B45</f>
        <v>Зав.производством</v>
      </c>
      <c r="I45" s="257"/>
      <c r="J45" s="261" t="str">
        <f>D45</f>
        <v>Катанцева Я.В.</v>
      </c>
      <c r="K45" s="259"/>
      <c r="L45" s="260"/>
    </row>
    <row r="46" spans="1:12" ht="22.5" x14ac:dyDescent="0.25">
      <c r="A46" s="262"/>
      <c r="B46" s="263"/>
      <c r="C46" s="263"/>
      <c r="D46" s="263"/>
      <c r="E46" s="262"/>
      <c r="F46" s="262"/>
      <c r="G46" s="263"/>
      <c r="H46" s="263"/>
      <c r="I46" s="263"/>
      <c r="J46" s="263"/>
      <c r="K46" s="262"/>
      <c r="L46" s="262"/>
    </row>
    <row r="47" spans="1:12" ht="22.5" x14ac:dyDescent="0.25">
      <c r="A47" s="262"/>
      <c r="B47" s="263"/>
      <c r="C47" s="263"/>
      <c r="D47" s="263"/>
      <c r="E47" s="262"/>
      <c r="F47" s="262"/>
      <c r="G47" s="263"/>
      <c r="H47" s="263"/>
      <c r="I47" s="263"/>
      <c r="J47" s="263"/>
      <c r="K47" s="262"/>
      <c r="L47" s="262"/>
    </row>
    <row r="48" spans="1:12" ht="22.5" x14ac:dyDescent="0.25">
      <c r="A48" s="262"/>
      <c r="B48" s="263"/>
      <c r="C48" s="263"/>
      <c r="D48" s="263"/>
      <c r="E48" s="262"/>
      <c r="F48" s="262"/>
      <c r="G48" s="263"/>
      <c r="H48" s="263"/>
      <c r="I48" s="263"/>
      <c r="J48" s="263"/>
      <c r="K48" s="262"/>
      <c r="L48" s="262"/>
    </row>
    <row r="49" spans="1:12" ht="30" x14ac:dyDescent="0.25">
      <c r="A49" s="262"/>
      <c r="B49" s="214"/>
      <c r="C49" s="215"/>
      <c r="D49" s="215"/>
      <c r="E49" s="215"/>
      <c r="F49" s="262"/>
      <c r="G49" s="263"/>
      <c r="H49" s="263"/>
      <c r="I49" s="263"/>
      <c r="J49" s="263"/>
      <c r="K49" s="262"/>
      <c r="L49" s="262"/>
    </row>
  </sheetData>
  <mergeCells count="22">
    <mergeCell ref="C9:E9"/>
    <mergeCell ref="I9:K9"/>
    <mergeCell ref="A6:B6"/>
    <mergeCell ref="C6:F6"/>
    <mergeCell ref="G6:H6"/>
    <mergeCell ref="I6:L6"/>
    <mergeCell ref="C7:F7"/>
    <mergeCell ref="I7:L7"/>
    <mergeCell ref="A3:B3"/>
    <mergeCell ref="E3:F3"/>
    <mergeCell ref="G3:H3"/>
    <mergeCell ref="K3:L3"/>
    <mergeCell ref="A4:B4"/>
    <mergeCell ref="E4:F4"/>
    <mergeCell ref="G4:H4"/>
    <mergeCell ref="K4:L4"/>
    <mergeCell ref="A1:B1"/>
    <mergeCell ref="E1:F2"/>
    <mergeCell ref="G1:H1"/>
    <mergeCell ref="K1:L2"/>
    <mergeCell ref="A2:B2"/>
    <mergeCell ref="G2:H2"/>
  </mergeCells>
  <pageMargins left="0.7" right="0.7" top="0.75" bottom="0.75" header="0.3" footer="0.3"/>
  <pageSetup paperSize="9" scale="35" orientation="portrait" r:id="rId1"/>
  <colBreaks count="1" manualBreakCount="1">
    <brk id="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view="pageBreakPreview" zoomScale="40" zoomScaleNormal="60" zoomScaleSheetLayoutView="40" workbookViewId="0">
      <selection activeCell="M13" sqref="M13:N16"/>
    </sheetView>
  </sheetViews>
  <sheetFormatPr defaultRowHeight="18.75" x14ac:dyDescent="0.3"/>
  <cols>
    <col min="1" max="2" width="25.7109375" style="80" customWidth="1"/>
    <col min="3" max="3" width="15.7109375" style="80" customWidth="1"/>
    <col min="4" max="4" width="83.28515625" style="80" customWidth="1"/>
    <col min="5" max="5" width="25.7109375" style="80" customWidth="1"/>
    <col min="6" max="6" width="27.42578125" style="80" customWidth="1"/>
    <col min="7" max="7" width="22.7109375" style="80" customWidth="1"/>
    <col min="8" max="8" width="24.5703125" style="80" customWidth="1"/>
    <col min="9" max="9" width="36.5703125" style="80" customWidth="1"/>
    <col min="10" max="11" width="25.7109375" style="80" customWidth="1"/>
    <col min="12" max="12" width="15.7109375" style="80" customWidth="1"/>
    <col min="13" max="13" width="82.28515625" style="80" customWidth="1"/>
    <col min="14" max="14" width="25.7109375" style="80" customWidth="1"/>
    <col min="15" max="15" width="25.5703125" style="80" customWidth="1"/>
    <col min="16" max="16" width="26.42578125" style="80" customWidth="1"/>
    <col min="17" max="17" width="23.42578125" style="80" customWidth="1"/>
    <col min="18" max="18" width="40.42578125" style="80" customWidth="1"/>
  </cols>
  <sheetData>
    <row r="1" spans="1:18" ht="30" customHeight="1" x14ac:dyDescent="0.45">
      <c r="A1" s="83" t="s">
        <v>40</v>
      </c>
      <c r="B1" s="83"/>
      <c r="C1" s="84"/>
      <c r="D1" s="84"/>
      <c r="E1" s="85"/>
      <c r="F1" s="299" t="s">
        <v>41</v>
      </c>
      <c r="G1" s="299"/>
      <c r="H1" s="299"/>
      <c r="I1" s="299"/>
      <c r="J1" s="83" t="s">
        <v>40</v>
      </c>
      <c r="K1" s="83"/>
      <c r="L1" s="84"/>
      <c r="M1" s="84"/>
      <c r="N1" s="85"/>
      <c r="O1" s="299" t="s">
        <v>41</v>
      </c>
      <c r="P1" s="299"/>
      <c r="Q1" s="299"/>
      <c r="R1" s="299"/>
    </row>
    <row r="2" spans="1:18" ht="42" customHeight="1" x14ac:dyDescent="0.45">
      <c r="A2" s="83" t="s">
        <v>42</v>
      </c>
      <c r="B2" s="83"/>
      <c r="C2" s="86"/>
      <c r="D2" s="86"/>
      <c r="E2" s="85"/>
      <c r="F2" s="299"/>
      <c r="G2" s="299"/>
      <c r="H2" s="299"/>
      <c r="I2" s="299"/>
      <c r="J2" s="83" t="s">
        <v>42</v>
      </c>
      <c r="K2" s="83"/>
      <c r="L2" s="86"/>
      <c r="M2" s="86"/>
      <c r="N2" s="85"/>
      <c r="O2" s="299"/>
      <c r="P2" s="299"/>
      <c r="Q2" s="299"/>
      <c r="R2" s="299"/>
    </row>
    <row r="3" spans="1:18" ht="42" customHeight="1" x14ac:dyDescent="0.45">
      <c r="A3" s="84" t="s">
        <v>44</v>
      </c>
      <c r="B3" s="84"/>
      <c r="C3" s="84"/>
      <c r="D3" s="84"/>
      <c r="E3" s="85"/>
      <c r="F3" s="298" t="s">
        <v>75</v>
      </c>
      <c r="G3" s="298"/>
      <c r="H3" s="298"/>
      <c r="I3" s="298"/>
      <c r="J3" s="84" t="s">
        <v>44</v>
      </c>
      <c r="K3" s="84"/>
      <c r="L3" s="84"/>
      <c r="M3" s="84"/>
      <c r="N3" s="85"/>
      <c r="O3" s="298" t="s">
        <v>75</v>
      </c>
      <c r="P3" s="298"/>
      <c r="Q3" s="298"/>
      <c r="R3" s="298"/>
    </row>
    <row r="4" spans="1:18" ht="30" customHeight="1" x14ac:dyDescent="0.45">
      <c r="A4" s="84" t="s">
        <v>45</v>
      </c>
      <c r="B4" s="84"/>
      <c r="C4" s="84"/>
      <c r="D4" s="84"/>
      <c r="E4" s="85"/>
      <c r="F4" s="84" t="s">
        <v>45</v>
      </c>
      <c r="G4" s="84"/>
      <c r="H4" s="87"/>
      <c r="I4" s="87"/>
      <c r="J4" s="84" t="s">
        <v>45</v>
      </c>
      <c r="K4" s="84"/>
      <c r="L4" s="84"/>
      <c r="M4" s="84"/>
      <c r="N4" s="85"/>
      <c r="O4" s="84" t="s">
        <v>45</v>
      </c>
      <c r="P4" s="84"/>
      <c r="Q4" s="87"/>
      <c r="R4" s="87"/>
    </row>
    <row r="5" spans="1:18" ht="30" customHeight="1" x14ac:dyDescent="0.5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</row>
    <row r="6" spans="1:18" ht="30" customHeight="1" x14ac:dyDescent="0.45">
      <c r="A6" s="302" t="s">
        <v>46</v>
      </c>
      <c r="B6" s="302"/>
      <c r="C6" s="301" t="s">
        <v>47</v>
      </c>
      <c r="D6" s="301"/>
      <c r="E6" s="301"/>
      <c r="F6" s="301"/>
      <c r="G6" s="301"/>
      <c r="H6" s="301"/>
      <c r="I6" s="301"/>
      <c r="J6" s="302" t="s">
        <v>46</v>
      </c>
      <c r="K6" s="302"/>
      <c r="L6" s="301" t="s">
        <v>47</v>
      </c>
      <c r="M6" s="301"/>
      <c r="N6" s="301"/>
      <c r="O6" s="301"/>
      <c r="P6" s="301"/>
      <c r="Q6" s="301"/>
      <c r="R6" s="301"/>
    </row>
    <row r="7" spans="1:18" ht="30" customHeight="1" x14ac:dyDescent="0.45">
      <c r="A7" s="89"/>
      <c r="B7" s="89"/>
      <c r="C7" s="301" t="s">
        <v>48</v>
      </c>
      <c r="D7" s="301"/>
      <c r="E7" s="301"/>
      <c r="F7" s="301"/>
      <c r="G7" s="301"/>
      <c r="H7" s="301"/>
      <c r="I7" s="301"/>
      <c r="J7" s="89"/>
      <c r="K7" s="89"/>
      <c r="L7" s="301" t="s">
        <v>48</v>
      </c>
      <c r="M7" s="301"/>
      <c r="N7" s="301"/>
      <c r="O7" s="301"/>
      <c r="P7" s="301"/>
      <c r="Q7" s="301"/>
      <c r="R7" s="301"/>
    </row>
    <row r="8" spans="1:18" ht="30" customHeight="1" x14ac:dyDescent="0.45">
      <c r="A8" s="89"/>
      <c r="B8" s="89"/>
      <c r="C8" s="90"/>
      <c r="D8" s="90"/>
      <c r="E8" s="90"/>
      <c r="F8" s="90"/>
      <c r="G8" s="90"/>
      <c r="H8" s="90"/>
      <c r="I8" s="90"/>
      <c r="J8" s="89"/>
      <c r="K8" s="89"/>
      <c r="L8" s="90"/>
      <c r="M8" s="90"/>
      <c r="N8" s="90"/>
      <c r="O8" s="90"/>
      <c r="P8" s="90"/>
      <c r="Q8" s="90"/>
      <c r="R8" s="90"/>
    </row>
    <row r="9" spans="1:18" ht="30" customHeight="1" x14ac:dyDescent="0.25">
      <c r="A9" s="91" t="s">
        <v>49</v>
      </c>
      <c r="B9" s="91"/>
      <c r="C9" s="91"/>
      <c r="D9" s="91"/>
      <c r="E9" s="181" t="s">
        <v>50</v>
      </c>
      <c r="F9" s="91"/>
      <c r="G9" s="91"/>
      <c r="H9" s="91"/>
      <c r="I9" s="91"/>
      <c r="J9" s="91" t="s">
        <v>49</v>
      </c>
      <c r="K9" s="91"/>
      <c r="L9" s="91"/>
      <c r="M9" s="91"/>
      <c r="N9" s="181" t="s">
        <v>50</v>
      </c>
      <c r="O9" s="91"/>
      <c r="P9" s="91"/>
      <c r="Q9" s="91"/>
      <c r="R9" s="91"/>
    </row>
    <row r="10" spans="1:18" ht="30" customHeight="1" thickBot="1" x14ac:dyDescent="0.3">
      <c r="A10" s="92"/>
      <c r="B10" s="92"/>
      <c r="C10" s="92"/>
      <c r="D10" s="92"/>
      <c r="E10" s="92"/>
      <c r="F10" s="92"/>
      <c r="G10" s="92"/>
      <c r="H10" s="93"/>
      <c r="I10" s="93"/>
      <c r="J10" s="92"/>
      <c r="K10" s="92"/>
      <c r="L10" s="92"/>
      <c r="M10" s="92"/>
      <c r="N10" s="92"/>
      <c r="O10" s="92"/>
      <c r="P10" s="92"/>
      <c r="Q10" s="93"/>
      <c r="R10" s="93"/>
    </row>
    <row r="11" spans="1:18" ht="30" customHeight="1" thickBot="1" x14ac:dyDescent="0.45">
      <c r="A11" s="94" t="s">
        <v>28</v>
      </c>
      <c r="B11" s="300" t="s">
        <v>27</v>
      </c>
      <c r="C11" s="300"/>
      <c r="D11" s="300"/>
      <c r="E11" s="300"/>
      <c r="F11" s="95" t="s">
        <v>26</v>
      </c>
      <c r="G11" s="95" t="s">
        <v>25</v>
      </c>
      <c r="H11" s="95" t="s">
        <v>24</v>
      </c>
      <c r="I11" s="96">
        <v>44656</v>
      </c>
      <c r="J11" s="94" t="s">
        <v>28</v>
      </c>
      <c r="K11" s="300" t="s">
        <v>27</v>
      </c>
      <c r="L11" s="300"/>
      <c r="M11" s="300"/>
      <c r="N11" s="300"/>
      <c r="O11" s="95" t="s">
        <v>26</v>
      </c>
      <c r="P11" s="95" t="s">
        <v>29</v>
      </c>
      <c r="Q11" s="95" t="s">
        <v>24</v>
      </c>
      <c r="R11" s="96">
        <f>I11</f>
        <v>44656</v>
      </c>
    </row>
    <row r="12" spans="1:18" s="100" customFormat="1" ht="35.25" customHeight="1" thickBot="1" x14ac:dyDescent="0.3">
      <c r="A12" s="97" t="s">
        <v>23</v>
      </c>
      <c r="B12" s="98" t="s">
        <v>22</v>
      </c>
      <c r="C12" s="98" t="s">
        <v>51</v>
      </c>
      <c r="D12" s="98" t="s">
        <v>21</v>
      </c>
      <c r="E12" s="98" t="s">
        <v>20</v>
      </c>
      <c r="F12" s="98" t="s">
        <v>19</v>
      </c>
      <c r="G12" s="98" t="s">
        <v>18</v>
      </c>
      <c r="H12" s="98" t="s">
        <v>17</v>
      </c>
      <c r="I12" s="99" t="s">
        <v>16</v>
      </c>
      <c r="J12" s="97" t="s">
        <v>23</v>
      </c>
      <c r="K12" s="98" t="s">
        <v>22</v>
      </c>
      <c r="L12" s="98" t="s">
        <v>51</v>
      </c>
      <c r="M12" s="98" t="s">
        <v>21</v>
      </c>
      <c r="N12" s="98" t="s">
        <v>20</v>
      </c>
      <c r="O12" s="98" t="s">
        <v>19</v>
      </c>
      <c r="P12" s="98" t="s">
        <v>18</v>
      </c>
      <c r="Q12" s="98" t="s">
        <v>17</v>
      </c>
      <c r="R12" s="99" t="s">
        <v>16</v>
      </c>
    </row>
    <row r="13" spans="1:18" s="109" customFormat="1" ht="30" customHeight="1" x14ac:dyDescent="0.4">
      <c r="A13" s="101" t="s">
        <v>15</v>
      </c>
      <c r="B13" s="170" t="s">
        <v>104</v>
      </c>
      <c r="C13" s="171">
        <v>31</v>
      </c>
      <c r="D13" s="104" t="s">
        <v>105</v>
      </c>
      <c r="E13" s="105" t="s">
        <v>60</v>
      </c>
      <c r="F13" s="106">
        <f>24.4/2</f>
        <v>12.2</v>
      </c>
      <c r="G13" s="106">
        <f>36.8/2</f>
        <v>18.399999999999999</v>
      </c>
      <c r="H13" s="106">
        <f>3.8/2</f>
        <v>1.9</v>
      </c>
      <c r="I13" s="108">
        <f>443.8/2</f>
        <v>221.9</v>
      </c>
      <c r="J13" s="101" t="s">
        <v>15</v>
      </c>
      <c r="K13" s="170" t="s">
        <v>104</v>
      </c>
      <c r="L13" s="171">
        <v>81</v>
      </c>
      <c r="M13" s="104" t="s">
        <v>105</v>
      </c>
      <c r="N13" s="105" t="s">
        <v>106</v>
      </c>
      <c r="O13" s="106">
        <f>24.4/2</f>
        <v>12.2</v>
      </c>
      <c r="P13" s="106">
        <f>36.8/2</f>
        <v>18.399999999999999</v>
      </c>
      <c r="Q13" s="106">
        <f>3.8/2</f>
        <v>1.9</v>
      </c>
      <c r="R13" s="108">
        <f>443.8/2</f>
        <v>221.9</v>
      </c>
    </row>
    <row r="14" spans="1:18" s="118" customFormat="1" ht="33.75" customHeight="1" x14ac:dyDescent="0.25">
      <c r="A14" s="110"/>
      <c r="B14" s="111" t="s">
        <v>108</v>
      </c>
      <c r="C14" s="112">
        <f>C13</f>
        <v>31</v>
      </c>
      <c r="D14" s="113" t="s">
        <v>109</v>
      </c>
      <c r="E14" s="114" t="s">
        <v>100</v>
      </c>
      <c r="F14" s="115">
        <v>0.6</v>
      </c>
      <c r="G14" s="115">
        <v>0.1</v>
      </c>
      <c r="H14" s="115">
        <v>1.5</v>
      </c>
      <c r="I14" s="117">
        <v>11.6</v>
      </c>
      <c r="J14" s="110"/>
      <c r="K14" s="111" t="s">
        <v>108</v>
      </c>
      <c r="L14" s="112">
        <f>L13</f>
        <v>81</v>
      </c>
      <c r="M14" s="113" t="s">
        <v>109</v>
      </c>
      <c r="N14" s="114" t="s">
        <v>100</v>
      </c>
      <c r="O14" s="115">
        <v>0.6</v>
      </c>
      <c r="P14" s="115">
        <v>0.1</v>
      </c>
      <c r="Q14" s="115">
        <v>1.5</v>
      </c>
      <c r="R14" s="117">
        <v>11.6</v>
      </c>
    </row>
    <row r="15" spans="1:18" s="118" customFormat="1" ht="33.75" customHeight="1" x14ac:dyDescent="0.25">
      <c r="A15" s="110"/>
      <c r="B15" s="111" t="s">
        <v>14</v>
      </c>
      <c r="C15" s="112">
        <f t="shared" ref="C15" si="0">C14</f>
        <v>31</v>
      </c>
      <c r="D15" s="113" t="s">
        <v>13</v>
      </c>
      <c r="E15" s="114" t="s">
        <v>12</v>
      </c>
      <c r="F15" s="115">
        <v>2.2999999999999998</v>
      </c>
      <c r="G15" s="115">
        <v>0.9</v>
      </c>
      <c r="H15" s="115">
        <v>15.4</v>
      </c>
      <c r="I15" s="117">
        <v>78.599999999999994</v>
      </c>
      <c r="J15" s="110"/>
      <c r="K15" s="111" t="s">
        <v>14</v>
      </c>
      <c r="L15" s="112">
        <f t="shared" ref="L15" si="1">L14</f>
        <v>81</v>
      </c>
      <c r="M15" s="113" t="s">
        <v>13</v>
      </c>
      <c r="N15" s="114" t="s">
        <v>12</v>
      </c>
      <c r="O15" s="115">
        <v>2.2999999999999998</v>
      </c>
      <c r="P15" s="115">
        <v>0.9</v>
      </c>
      <c r="Q15" s="115">
        <v>15.4</v>
      </c>
      <c r="R15" s="117">
        <v>78.599999999999994</v>
      </c>
    </row>
    <row r="16" spans="1:18" s="118" customFormat="1" ht="33.75" customHeight="1" x14ac:dyDescent="0.25">
      <c r="A16" s="110"/>
      <c r="B16" s="111" t="s">
        <v>1</v>
      </c>
      <c r="C16" s="112">
        <f>C15</f>
        <v>31</v>
      </c>
      <c r="D16" s="113" t="s">
        <v>35</v>
      </c>
      <c r="E16" s="114" t="s">
        <v>8</v>
      </c>
      <c r="F16" s="121">
        <v>0.4</v>
      </c>
      <c r="G16" s="121">
        <v>0.1</v>
      </c>
      <c r="H16" s="121">
        <v>21.6</v>
      </c>
      <c r="I16" s="122">
        <v>83.4</v>
      </c>
      <c r="J16" s="110"/>
      <c r="K16" s="111" t="s">
        <v>1</v>
      </c>
      <c r="L16" s="112">
        <f>L15</f>
        <v>81</v>
      </c>
      <c r="M16" s="113" t="s">
        <v>35</v>
      </c>
      <c r="N16" s="114" t="s">
        <v>8</v>
      </c>
      <c r="O16" s="121">
        <v>0.4</v>
      </c>
      <c r="P16" s="121">
        <v>0.1</v>
      </c>
      <c r="Q16" s="121">
        <v>21.6</v>
      </c>
      <c r="R16" s="122">
        <v>83.4</v>
      </c>
    </row>
    <row r="17" spans="1:18" s="118" customFormat="1" ht="33.75" customHeight="1" x14ac:dyDescent="0.25">
      <c r="A17" s="110"/>
      <c r="B17" s="111"/>
      <c r="C17" s="112"/>
      <c r="D17" s="113"/>
      <c r="E17" s="114"/>
      <c r="F17" s="115"/>
      <c r="G17" s="115"/>
      <c r="H17" s="115"/>
      <c r="I17" s="117"/>
      <c r="J17" s="110"/>
      <c r="K17" s="111"/>
      <c r="L17" s="112"/>
      <c r="M17" s="113"/>
      <c r="N17" s="114"/>
      <c r="O17" s="115"/>
      <c r="P17" s="115"/>
      <c r="Q17" s="115"/>
      <c r="R17" s="117"/>
    </row>
    <row r="18" spans="1:18" s="118" customFormat="1" ht="33.75" customHeight="1" x14ac:dyDescent="0.4">
      <c r="A18" s="110"/>
      <c r="B18" s="119"/>
      <c r="C18" s="120"/>
      <c r="D18" s="113"/>
      <c r="E18" s="114"/>
      <c r="F18" s="115"/>
      <c r="G18" s="115"/>
      <c r="H18" s="115"/>
      <c r="I18" s="117"/>
      <c r="J18" s="110"/>
      <c r="K18" s="111"/>
      <c r="L18" s="112"/>
      <c r="M18" s="113"/>
      <c r="N18" s="114"/>
      <c r="O18" s="115"/>
      <c r="P18" s="115"/>
      <c r="Q18" s="115"/>
      <c r="R18" s="117"/>
    </row>
    <row r="19" spans="1:18" s="118" customFormat="1" ht="36" customHeight="1" thickBot="1" x14ac:dyDescent="0.3">
      <c r="A19" s="124"/>
      <c r="B19" s="125"/>
      <c r="C19" s="126"/>
      <c r="D19" s="127"/>
      <c r="E19" s="128"/>
      <c r="F19" s="129"/>
      <c r="G19" s="129"/>
      <c r="H19" s="129"/>
      <c r="I19" s="130"/>
      <c r="J19" s="124"/>
      <c r="K19" s="125"/>
      <c r="L19" s="126"/>
      <c r="M19" s="127"/>
      <c r="N19" s="128"/>
      <c r="O19" s="129"/>
      <c r="P19" s="129"/>
      <c r="Q19" s="129"/>
      <c r="R19" s="130"/>
    </row>
    <row r="20" spans="1:18" s="118" customFormat="1" ht="36" customHeight="1" thickBot="1" x14ac:dyDescent="0.3">
      <c r="A20" s="295" t="s">
        <v>0</v>
      </c>
      <c r="B20" s="296"/>
      <c r="C20" s="297"/>
      <c r="D20" s="132"/>
      <c r="E20" s="133"/>
      <c r="F20" s="134">
        <f>SUM(F13:F19)</f>
        <v>15.499999999999998</v>
      </c>
      <c r="G20" s="134">
        <f t="shared" ref="G20:I20" si="2">SUM(G13:G19)</f>
        <v>19.5</v>
      </c>
      <c r="H20" s="134">
        <f t="shared" si="2"/>
        <v>40.400000000000006</v>
      </c>
      <c r="I20" s="135">
        <f t="shared" si="2"/>
        <v>395.5</v>
      </c>
      <c r="J20" s="295" t="s">
        <v>0</v>
      </c>
      <c r="K20" s="296"/>
      <c r="L20" s="297"/>
      <c r="M20" s="132"/>
      <c r="N20" s="133"/>
      <c r="O20" s="134">
        <f>SUM(O13:O19)</f>
        <v>15.499999999999998</v>
      </c>
      <c r="P20" s="134">
        <f t="shared" ref="P20:R20" si="3">SUM(P13:P19)</f>
        <v>19.5</v>
      </c>
      <c r="Q20" s="134">
        <f t="shared" si="3"/>
        <v>40.400000000000006</v>
      </c>
      <c r="R20" s="135">
        <f t="shared" si="3"/>
        <v>395.5</v>
      </c>
    </row>
    <row r="21" spans="1:18" s="109" customFormat="1" ht="66" customHeight="1" x14ac:dyDescent="0.25">
      <c r="A21" s="101" t="s">
        <v>11</v>
      </c>
      <c r="B21" s="102" t="s">
        <v>30</v>
      </c>
      <c r="C21" s="103">
        <v>0</v>
      </c>
      <c r="D21" s="104" t="s">
        <v>110</v>
      </c>
      <c r="E21" s="105" t="s">
        <v>64</v>
      </c>
      <c r="F21" s="106">
        <v>1.4</v>
      </c>
      <c r="G21" s="106">
        <v>11.4</v>
      </c>
      <c r="H21" s="106">
        <v>4.3</v>
      </c>
      <c r="I21" s="108">
        <v>123.2</v>
      </c>
      <c r="J21" s="101" t="s">
        <v>11</v>
      </c>
      <c r="K21" s="102" t="s">
        <v>30</v>
      </c>
      <c r="L21" s="103">
        <v>0</v>
      </c>
      <c r="M21" s="104" t="s">
        <v>110</v>
      </c>
      <c r="N21" s="105" t="s">
        <v>64</v>
      </c>
      <c r="O21" s="106">
        <v>1.4</v>
      </c>
      <c r="P21" s="106">
        <v>11.4</v>
      </c>
      <c r="Q21" s="106">
        <v>4.3</v>
      </c>
      <c r="R21" s="108">
        <v>123.2</v>
      </c>
    </row>
    <row r="22" spans="1:18" s="80" customFormat="1" ht="30" customHeight="1" x14ac:dyDescent="0.4">
      <c r="A22" s="136"/>
      <c r="B22" s="119" t="s">
        <v>10</v>
      </c>
      <c r="C22" s="120">
        <f t="shared" ref="C22:C27" si="4">C21</f>
        <v>0</v>
      </c>
      <c r="D22" s="113" t="s">
        <v>111</v>
      </c>
      <c r="E22" s="114" t="s">
        <v>36</v>
      </c>
      <c r="F22" s="115">
        <v>6.5</v>
      </c>
      <c r="G22" s="115">
        <v>3.3</v>
      </c>
      <c r="H22" s="115">
        <v>13</v>
      </c>
      <c r="I22" s="117">
        <v>107</v>
      </c>
      <c r="J22" s="136"/>
      <c r="K22" s="119" t="s">
        <v>10</v>
      </c>
      <c r="L22" s="120">
        <f t="shared" ref="L22:L27" si="5">L21</f>
        <v>0</v>
      </c>
      <c r="M22" s="113" t="s">
        <v>111</v>
      </c>
      <c r="N22" s="114" t="s">
        <v>36</v>
      </c>
      <c r="O22" s="115">
        <v>6.5</v>
      </c>
      <c r="P22" s="115">
        <v>3.3</v>
      </c>
      <c r="Q22" s="115">
        <v>13</v>
      </c>
      <c r="R22" s="117">
        <v>107</v>
      </c>
    </row>
    <row r="23" spans="1:18" s="80" customFormat="1" ht="30" customHeight="1" x14ac:dyDescent="0.4">
      <c r="A23" s="136"/>
      <c r="B23" s="119" t="s">
        <v>9</v>
      </c>
      <c r="C23" s="112">
        <f t="shared" si="4"/>
        <v>0</v>
      </c>
      <c r="D23" s="113" t="s">
        <v>112</v>
      </c>
      <c r="E23" s="114" t="s">
        <v>64</v>
      </c>
      <c r="F23" s="121">
        <v>14.7</v>
      </c>
      <c r="G23" s="121">
        <f>11.3</f>
        <v>11.3</v>
      </c>
      <c r="H23" s="121">
        <f>3.1</f>
        <v>3.1</v>
      </c>
      <c r="I23" s="122">
        <f>173.6</f>
        <v>173.6</v>
      </c>
      <c r="J23" s="136"/>
      <c r="K23" s="119" t="s">
        <v>9</v>
      </c>
      <c r="L23" s="112">
        <f t="shared" si="5"/>
        <v>0</v>
      </c>
      <c r="M23" s="113" t="s">
        <v>112</v>
      </c>
      <c r="N23" s="114" t="s">
        <v>64</v>
      </c>
      <c r="O23" s="121">
        <v>14.7</v>
      </c>
      <c r="P23" s="121">
        <f>11.3</f>
        <v>11.3</v>
      </c>
      <c r="Q23" s="121">
        <f>3.1</f>
        <v>3.1</v>
      </c>
      <c r="R23" s="122">
        <f>173.6</f>
        <v>173.6</v>
      </c>
    </row>
    <row r="24" spans="1:18" s="80" customFormat="1" ht="30" customHeight="1" x14ac:dyDescent="0.4">
      <c r="A24" s="136"/>
      <c r="B24" s="111" t="s">
        <v>65</v>
      </c>
      <c r="C24" s="112">
        <f t="shared" si="4"/>
        <v>0</v>
      </c>
      <c r="D24" s="113" t="s">
        <v>113</v>
      </c>
      <c r="E24" s="114" t="s">
        <v>31</v>
      </c>
      <c r="F24" s="121">
        <f>4.2/20*15</f>
        <v>3.1500000000000004</v>
      </c>
      <c r="G24" s="121">
        <f>1.6/20*15</f>
        <v>1.2</v>
      </c>
      <c r="H24" s="121">
        <f>29.4/20*15</f>
        <v>22.05</v>
      </c>
      <c r="I24" s="122">
        <f>150/20*15</f>
        <v>112.5</v>
      </c>
      <c r="J24" s="136"/>
      <c r="K24" s="111" t="s">
        <v>65</v>
      </c>
      <c r="L24" s="112">
        <f t="shared" si="5"/>
        <v>0</v>
      </c>
      <c r="M24" s="113" t="s">
        <v>113</v>
      </c>
      <c r="N24" s="114" t="s">
        <v>32</v>
      </c>
      <c r="O24" s="121">
        <f>4.2/20*18</f>
        <v>3.7800000000000002</v>
      </c>
      <c r="P24" s="121">
        <f>1.6/20*18</f>
        <v>1.44</v>
      </c>
      <c r="Q24" s="121">
        <f>29.4/20*18</f>
        <v>26.46</v>
      </c>
      <c r="R24" s="122">
        <f>150/20*18</f>
        <v>135</v>
      </c>
    </row>
    <row r="25" spans="1:18" s="118" customFormat="1" ht="33.75" customHeight="1" x14ac:dyDescent="0.25">
      <c r="A25" s="110"/>
      <c r="B25" s="111" t="s">
        <v>1</v>
      </c>
      <c r="C25" s="112">
        <f t="shared" si="4"/>
        <v>0</v>
      </c>
      <c r="D25" s="113" t="s">
        <v>94</v>
      </c>
      <c r="E25" s="114" t="s">
        <v>8</v>
      </c>
      <c r="F25" s="121">
        <v>0.9</v>
      </c>
      <c r="G25" s="121">
        <v>0.1</v>
      </c>
      <c r="H25" s="121">
        <v>32</v>
      </c>
      <c r="I25" s="122">
        <v>131.80000000000001</v>
      </c>
      <c r="J25" s="110"/>
      <c r="K25" s="111" t="s">
        <v>1</v>
      </c>
      <c r="L25" s="112">
        <f t="shared" si="5"/>
        <v>0</v>
      </c>
      <c r="M25" s="113" t="s">
        <v>94</v>
      </c>
      <c r="N25" s="114" t="s">
        <v>8</v>
      </c>
      <c r="O25" s="121">
        <v>0.9</v>
      </c>
      <c r="P25" s="121">
        <v>0.1</v>
      </c>
      <c r="Q25" s="121">
        <v>32</v>
      </c>
      <c r="R25" s="122">
        <v>131.80000000000001</v>
      </c>
    </row>
    <row r="26" spans="1:18" s="137" customFormat="1" ht="33.75" customHeight="1" x14ac:dyDescent="0.25">
      <c r="A26" s="110"/>
      <c r="B26" s="111" t="s">
        <v>7</v>
      </c>
      <c r="C26" s="112">
        <f t="shared" si="4"/>
        <v>0</v>
      </c>
      <c r="D26" s="113" t="s">
        <v>6</v>
      </c>
      <c r="E26" s="114" t="s">
        <v>3</v>
      </c>
      <c r="F26" s="115">
        <f t="shared" ref="F26:I26" si="6">F25/2</f>
        <v>0.45</v>
      </c>
      <c r="G26" s="115">
        <f t="shared" si="6"/>
        <v>0.05</v>
      </c>
      <c r="H26" s="115">
        <f t="shared" si="6"/>
        <v>16</v>
      </c>
      <c r="I26" s="117">
        <f t="shared" si="6"/>
        <v>65.900000000000006</v>
      </c>
      <c r="J26" s="110"/>
      <c r="K26" s="111" t="s">
        <v>7</v>
      </c>
      <c r="L26" s="112">
        <f t="shared" si="5"/>
        <v>0</v>
      </c>
      <c r="M26" s="113" t="s">
        <v>6</v>
      </c>
      <c r="N26" s="114" t="s">
        <v>3</v>
      </c>
      <c r="O26" s="115">
        <f t="shared" ref="O26:R26" si="7">O25/2</f>
        <v>0.45</v>
      </c>
      <c r="P26" s="115">
        <f t="shared" si="7"/>
        <v>0.05</v>
      </c>
      <c r="Q26" s="115">
        <f t="shared" si="7"/>
        <v>16</v>
      </c>
      <c r="R26" s="117">
        <f t="shared" si="7"/>
        <v>65.900000000000006</v>
      </c>
    </row>
    <row r="27" spans="1:18" s="118" customFormat="1" ht="30" customHeight="1" x14ac:dyDescent="0.25">
      <c r="A27" s="110"/>
      <c r="B27" s="111" t="s">
        <v>5</v>
      </c>
      <c r="C27" s="112">
        <f t="shared" si="4"/>
        <v>0</v>
      </c>
      <c r="D27" s="113" t="s">
        <v>4</v>
      </c>
      <c r="E27" s="114" t="s">
        <v>3</v>
      </c>
      <c r="F27" s="121">
        <v>2.6</v>
      </c>
      <c r="G27" s="121">
        <v>1</v>
      </c>
      <c r="H27" s="121">
        <v>12.8</v>
      </c>
      <c r="I27" s="122">
        <v>77.7</v>
      </c>
      <c r="J27" s="110"/>
      <c r="K27" s="111" t="s">
        <v>5</v>
      </c>
      <c r="L27" s="112">
        <f t="shared" si="5"/>
        <v>0</v>
      </c>
      <c r="M27" s="113" t="s">
        <v>4</v>
      </c>
      <c r="N27" s="114" t="s">
        <v>3</v>
      </c>
      <c r="O27" s="121">
        <v>2.6</v>
      </c>
      <c r="P27" s="121">
        <v>1</v>
      </c>
      <c r="Q27" s="121">
        <v>12.8</v>
      </c>
      <c r="R27" s="122">
        <v>77.7</v>
      </c>
    </row>
    <row r="28" spans="1:18" s="118" customFormat="1" ht="30" customHeight="1" thickBot="1" x14ac:dyDescent="0.3">
      <c r="A28" s="124"/>
      <c r="B28" s="125"/>
      <c r="C28" s="126"/>
      <c r="D28" s="127"/>
      <c r="E28" s="128"/>
      <c r="F28" s="129"/>
      <c r="G28" s="129"/>
      <c r="H28" s="129"/>
      <c r="I28" s="130"/>
      <c r="J28" s="124"/>
      <c r="K28" s="125"/>
      <c r="L28" s="126"/>
      <c r="M28" s="127"/>
      <c r="N28" s="128"/>
      <c r="O28" s="129"/>
      <c r="P28" s="129"/>
      <c r="Q28" s="129"/>
      <c r="R28" s="130"/>
    </row>
    <row r="29" spans="1:18" s="118" customFormat="1" ht="30" customHeight="1" thickBot="1" x14ac:dyDescent="0.3">
      <c r="A29" s="289" t="s">
        <v>0</v>
      </c>
      <c r="B29" s="290"/>
      <c r="C29" s="291"/>
      <c r="D29" s="141"/>
      <c r="E29" s="142"/>
      <c r="F29" s="143">
        <f>SUM(F21:F28)</f>
        <v>29.7</v>
      </c>
      <c r="G29" s="143">
        <f>SUM(G21:G28)</f>
        <v>28.35</v>
      </c>
      <c r="H29" s="143">
        <f>SUM(H21:H28)</f>
        <v>103.25</v>
      </c>
      <c r="I29" s="144">
        <f>SUM(I21:I28)</f>
        <v>791.69999999999993</v>
      </c>
      <c r="J29" s="289" t="s">
        <v>0</v>
      </c>
      <c r="K29" s="290"/>
      <c r="L29" s="291"/>
      <c r="M29" s="141"/>
      <c r="N29" s="142"/>
      <c r="O29" s="143">
        <f>SUM(O21:O28)</f>
        <v>30.330000000000002</v>
      </c>
      <c r="P29" s="143">
        <f>SUM(P21:P28)</f>
        <v>28.590000000000003</v>
      </c>
      <c r="Q29" s="143">
        <f>SUM(Q21:Q28)</f>
        <v>107.66</v>
      </c>
      <c r="R29" s="144">
        <f>SUM(R21:R28)</f>
        <v>814.19999999999993</v>
      </c>
    </row>
    <row r="30" spans="1:18" s="118" customFormat="1" ht="30" customHeight="1" x14ac:dyDescent="0.4">
      <c r="A30" s="101" t="s">
        <v>2</v>
      </c>
      <c r="B30" s="120" t="s">
        <v>1</v>
      </c>
      <c r="C30" s="145">
        <v>0</v>
      </c>
      <c r="D30" s="113" t="s">
        <v>95</v>
      </c>
      <c r="E30" s="114" t="s">
        <v>57</v>
      </c>
      <c r="F30" s="115">
        <v>1.4</v>
      </c>
      <c r="G30" s="115">
        <v>0.2</v>
      </c>
      <c r="H30" s="115">
        <v>26.4</v>
      </c>
      <c r="I30" s="117">
        <v>120</v>
      </c>
      <c r="J30" s="101" t="s">
        <v>2</v>
      </c>
      <c r="K30" s="120" t="s">
        <v>1</v>
      </c>
      <c r="L30" s="145">
        <v>0</v>
      </c>
      <c r="M30" s="113" t="s">
        <v>95</v>
      </c>
      <c r="N30" s="114" t="s">
        <v>57</v>
      </c>
      <c r="O30" s="115">
        <v>1.4</v>
      </c>
      <c r="P30" s="115">
        <v>0.2</v>
      </c>
      <c r="Q30" s="115">
        <v>26.4</v>
      </c>
      <c r="R30" s="117">
        <v>120</v>
      </c>
    </row>
    <row r="31" spans="1:18" s="80" customFormat="1" ht="30" customHeight="1" x14ac:dyDescent="0.4">
      <c r="A31" s="136"/>
      <c r="B31" s="119" t="s">
        <v>97</v>
      </c>
      <c r="C31" s="120">
        <f>C30</f>
        <v>0</v>
      </c>
      <c r="D31" s="113" t="s">
        <v>114</v>
      </c>
      <c r="E31" s="114" t="s">
        <v>33</v>
      </c>
      <c r="F31" s="115">
        <v>5.5</v>
      </c>
      <c r="G31" s="115">
        <v>6.6</v>
      </c>
      <c r="H31" s="115">
        <v>38.9</v>
      </c>
      <c r="I31" s="117">
        <v>237.3</v>
      </c>
      <c r="J31" s="136"/>
      <c r="K31" s="119" t="s">
        <v>97</v>
      </c>
      <c r="L31" s="120">
        <f>L30</f>
        <v>0</v>
      </c>
      <c r="M31" s="113" t="s">
        <v>114</v>
      </c>
      <c r="N31" s="114" t="s">
        <v>34</v>
      </c>
      <c r="O31" s="115">
        <f>5.5/7*9</f>
        <v>7.0714285714285712</v>
      </c>
      <c r="P31" s="115">
        <f>6.6/7*9</f>
        <v>8.4857142857142858</v>
      </c>
      <c r="Q31" s="115">
        <f>38.9/7*9</f>
        <v>50.014285714285712</v>
      </c>
      <c r="R31" s="117">
        <f>237.3/7*9</f>
        <v>305.09999999999997</v>
      </c>
    </row>
    <row r="32" spans="1:18" s="118" customFormat="1" ht="30" customHeight="1" thickBot="1" x14ac:dyDescent="0.45">
      <c r="A32" s="124"/>
      <c r="B32" s="126"/>
      <c r="C32" s="146"/>
      <c r="D32" s="127"/>
      <c r="E32" s="128"/>
      <c r="F32" s="129"/>
      <c r="G32" s="139"/>
      <c r="H32" s="139"/>
      <c r="I32" s="140"/>
      <c r="J32" s="124"/>
      <c r="K32" s="138"/>
      <c r="L32" s="120"/>
      <c r="M32" s="127"/>
      <c r="N32" s="128"/>
      <c r="O32" s="139"/>
      <c r="P32" s="139"/>
      <c r="Q32" s="139"/>
      <c r="R32" s="140"/>
    </row>
    <row r="33" spans="1:18" s="147" customFormat="1" ht="30" customHeight="1" thickBot="1" x14ac:dyDescent="0.3">
      <c r="A33" s="289" t="s">
        <v>0</v>
      </c>
      <c r="B33" s="290"/>
      <c r="C33" s="291"/>
      <c r="D33" s="141"/>
      <c r="E33" s="142"/>
      <c r="F33" s="143">
        <f>SUM(F30:F32)</f>
        <v>6.9</v>
      </c>
      <c r="G33" s="143">
        <f>SUM(G30:G32)</f>
        <v>6.8</v>
      </c>
      <c r="H33" s="143">
        <f>SUM(H30:H32)</f>
        <v>65.3</v>
      </c>
      <c r="I33" s="144">
        <f>SUM(I30:I32)</f>
        <v>357.3</v>
      </c>
      <c r="J33" s="292" t="s">
        <v>0</v>
      </c>
      <c r="K33" s="293"/>
      <c r="L33" s="294"/>
      <c r="M33" s="141"/>
      <c r="N33" s="142"/>
      <c r="O33" s="143">
        <f>SUM(O30:O32)</f>
        <v>8.4714285714285715</v>
      </c>
      <c r="P33" s="143">
        <f>SUM(P30:P32)</f>
        <v>8.6857142857142851</v>
      </c>
      <c r="Q33" s="143">
        <f>SUM(Q30:Q32)</f>
        <v>76.414285714285711</v>
      </c>
      <c r="R33" s="144">
        <f>SUM(R30:R32)</f>
        <v>425.09999999999997</v>
      </c>
    </row>
    <row r="34" spans="1:18" s="149" customFormat="1" ht="24.95" customHeight="1" x14ac:dyDescent="0.25">
      <c r="A34" s="148"/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</row>
    <row r="35" spans="1:18" s="155" customFormat="1" ht="24.95" customHeight="1" x14ac:dyDescent="0.5">
      <c r="A35" s="150"/>
      <c r="B35" s="88"/>
      <c r="C35" s="88"/>
      <c r="D35" s="151" t="s">
        <v>71</v>
      </c>
      <c r="E35" s="152"/>
      <c r="F35" s="153" t="s">
        <v>72</v>
      </c>
      <c r="G35" s="153"/>
      <c r="H35" s="154"/>
      <c r="I35" s="150"/>
      <c r="J35" s="150"/>
      <c r="K35" s="88"/>
      <c r="L35" s="88"/>
      <c r="M35" s="151" t="s">
        <v>71</v>
      </c>
      <c r="N35" s="152"/>
      <c r="O35" s="153" t="s">
        <v>72</v>
      </c>
      <c r="P35" s="153"/>
      <c r="Q35" s="84"/>
      <c r="R35" s="150"/>
    </row>
    <row r="36" spans="1:18" s="157" customFormat="1" ht="24.95" customHeight="1" x14ac:dyDescent="0.5">
      <c r="A36" s="150"/>
      <c r="B36" s="88"/>
      <c r="C36" s="88"/>
      <c r="D36" s="151"/>
      <c r="E36" s="152"/>
      <c r="F36" s="153"/>
      <c r="G36" s="153"/>
      <c r="H36" s="156"/>
      <c r="I36" s="88"/>
      <c r="J36" s="150"/>
      <c r="K36" s="88"/>
      <c r="L36" s="88"/>
      <c r="M36" s="151"/>
      <c r="N36" s="152"/>
      <c r="O36" s="153"/>
      <c r="P36" s="153"/>
      <c r="Q36" s="156"/>
      <c r="R36" s="88"/>
    </row>
    <row r="37" spans="1:18" s="88" customFormat="1" ht="24.95" customHeight="1" x14ac:dyDescent="0.5">
      <c r="A37" s="150"/>
      <c r="D37" s="151" t="s">
        <v>73</v>
      </c>
      <c r="E37" s="152"/>
      <c r="F37" s="158" t="s">
        <v>74</v>
      </c>
      <c r="G37" s="158"/>
      <c r="J37" s="150"/>
      <c r="M37" s="151" t="s">
        <v>73</v>
      </c>
      <c r="N37" s="152"/>
      <c r="O37" s="158" t="s">
        <v>74</v>
      </c>
      <c r="P37" s="158"/>
    </row>
    <row r="38" spans="1:18" s="162" customFormat="1" ht="30" customHeight="1" x14ac:dyDescent="0.4">
      <c r="A38" s="161"/>
      <c r="B38" s="164"/>
      <c r="C38" s="163"/>
      <c r="D38" s="163"/>
      <c r="E38" s="165"/>
      <c r="F38" s="166"/>
      <c r="G38" s="166"/>
      <c r="H38" s="160"/>
      <c r="I38" s="160"/>
      <c r="J38" s="161"/>
      <c r="K38" s="164"/>
      <c r="L38" s="163"/>
      <c r="M38" s="163"/>
      <c r="N38" s="163"/>
      <c r="O38" s="160"/>
      <c r="P38" s="160"/>
      <c r="Q38" s="160"/>
      <c r="R38" s="160"/>
    </row>
    <row r="39" spans="1:18" s="169" customFormat="1" ht="30" customHeight="1" x14ac:dyDescent="0.4">
      <c r="A39" s="167"/>
      <c r="B39" s="168"/>
      <c r="C39" s="159"/>
      <c r="D39" s="159"/>
      <c r="E39" s="159"/>
      <c r="F39" s="167"/>
      <c r="G39" s="167"/>
      <c r="H39" s="167"/>
      <c r="I39" s="167"/>
      <c r="J39" s="167"/>
      <c r="K39" s="168"/>
      <c r="L39" s="159"/>
      <c r="M39" s="159"/>
      <c r="N39" s="159"/>
      <c r="O39" s="167"/>
      <c r="P39" s="167"/>
      <c r="Q39" s="167"/>
      <c r="R39" s="167"/>
    </row>
  </sheetData>
  <mergeCells count="18">
    <mergeCell ref="F3:I3"/>
    <mergeCell ref="O3:R3"/>
    <mergeCell ref="F1:I2"/>
    <mergeCell ref="O1:R2"/>
    <mergeCell ref="B11:E11"/>
    <mergeCell ref="K11:N11"/>
    <mergeCell ref="C7:I7"/>
    <mergeCell ref="L7:R7"/>
    <mergeCell ref="J6:K6"/>
    <mergeCell ref="L6:R6"/>
    <mergeCell ref="A6:B6"/>
    <mergeCell ref="C6:I6"/>
    <mergeCell ref="A33:C33"/>
    <mergeCell ref="J33:L33"/>
    <mergeCell ref="A29:C29"/>
    <mergeCell ref="J29:L29"/>
    <mergeCell ref="A20:C20"/>
    <mergeCell ref="J20:L20"/>
  </mergeCells>
  <pageMargins left="0.7" right="0.7" top="0.75" bottom="0.75" header="0.3" footer="0.3"/>
  <pageSetup paperSize="9" scale="39" orientation="landscape" r:id="rId1"/>
  <colBreaks count="1" manualBreakCount="1">
    <brk id="9" max="3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view="pageBreakPreview" topLeftCell="A7" zoomScale="40" zoomScaleNormal="40" zoomScaleSheetLayoutView="40" workbookViewId="0">
      <selection activeCell="F50" sqref="F50"/>
    </sheetView>
  </sheetViews>
  <sheetFormatPr defaultRowHeight="23.25" x14ac:dyDescent="0.25"/>
  <cols>
    <col min="1" max="1" width="5.28515625" style="264" customWidth="1"/>
    <col min="2" max="2" width="90.28515625" style="265" customWidth="1"/>
    <col min="3" max="3" width="20" style="265" customWidth="1"/>
    <col min="4" max="4" width="11.7109375" style="265" customWidth="1"/>
    <col min="5" max="6" width="60.7109375" style="264" customWidth="1"/>
    <col min="7" max="7" width="5.7109375" style="265" customWidth="1"/>
    <col min="8" max="8" width="95.7109375" style="265" customWidth="1"/>
    <col min="9" max="9" width="18.5703125" style="265" customWidth="1"/>
    <col min="10" max="10" width="12" style="265" customWidth="1"/>
    <col min="11" max="11" width="60.7109375" style="264" customWidth="1"/>
    <col min="12" max="12" width="55" style="264" customWidth="1"/>
  </cols>
  <sheetData>
    <row r="1" spans="1:12" ht="33.75" customHeight="1" x14ac:dyDescent="0.25">
      <c r="A1" s="303" t="s">
        <v>40</v>
      </c>
      <c r="B1" s="303"/>
      <c r="C1" s="86"/>
      <c r="D1" s="86"/>
      <c r="E1" s="304" t="s">
        <v>41</v>
      </c>
      <c r="F1" s="304"/>
      <c r="G1" s="303" t="s">
        <v>40</v>
      </c>
      <c r="H1" s="303"/>
      <c r="I1" s="86"/>
      <c r="J1" s="86"/>
      <c r="K1" s="304" t="s">
        <v>41</v>
      </c>
      <c r="L1" s="304"/>
    </row>
    <row r="2" spans="1:12" ht="92.25" customHeight="1" x14ac:dyDescent="0.25">
      <c r="A2" s="305" t="s">
        <v>42</v>
      </c>
      <c r="B2" s="305"/>
      <c r="C2" s="86"/>
      <c r="D2" s="86"/>
      <c r="E2" s="304"/>
      <c r="F2" s="304"/>
      <c r="G2" s="305" t="s">
        <v>42</v>
      </c>
      <c r="H2" s="305"/>
      <c r="I2" s="86"/>
      <c r="J2" s="86"/>
      <c r="K2" s="304"/>
      <c r="L2" s="304"/>
    </row>
    <row r="3" spans="1:12" ht="33.75" customHeight="1" x14ac:dyDescent="0.25">
      <c r="A3" s="303" t="s">
        <v>139</v>
      </c>
      <c r="B3" s="303"/>
      <c r="C3" s="86"/>
      <c r="D3" s="86"/>
      <c r="E3" s="304" t="s">
        <v>75</v>
      </c>
      <c r="F3" s="304"/>
      <c r="G3" s="303" t="s">
        <v>139</v>
      </c>
      <c r="H3" s="303"/>
      <c r="I3" s="86"/>
      <c r="J3" s="86"/>
      <c r="K3" s="304" t="s">
        <v>75</v>
      </c>
      <c r="L3" s="304"/>
    </row>
    <row r="4" spans="1:12" ht="33" x14ac:dyDescent="0.25">
      <c r="A4" s="306" t="s">
        <v>45</v>
      </c>
      <c r="B4" s="306"/>
      <c r="C4" s="86"/>
      <c r="D4" s="86"/>
      <c r="E4" s="306" t="s">
        <v>45</v>
      </c>
      <c r="F4" s="306"/>
      <c r="G4" s="306" t="s">
        <v>45</v>
      </c>
      <c r="H4" s="306"/>
      <c r="I4" s="86"/>
      <c r="J4" s="86"/>
      <c r="K4" s="306" t="s">
        <v>45</v>
      </c>
      <c r="L4" s="306"/>
    </row>
    <row r="5" spans="1:12" ht="33.75" x14ac:dyDescent="0.25">
      <c r="A5" s="182"/>
      <c r="B5" s="182"/>
      <c r="C5" s="182"/>
      <c r="D5" s="182"/>
      <c r="E5" s="86"/>
      <c r="F5" s="86"/>
      <c r="G5" s="182"/>
      <c r="H5" s="182"/>
      <c r="I5" s="182"/>
      <c r="J5" s="182"/>
      <c r="K5" s="86"/>
      <c r="L5" s="86"/>
    </row>
    <row r="6" spans="1:12" ht="87.75" customHeight="1" x14ac:dyDescent="0.25">
      <c r="A6" s="308" t="s">
        <v>46</v>
      </c>
      <c r="B6" s="308"/>
      <c r="C6" s="309" t="s">
        <v>47</v>
      </c>
      <c r="D6" s="309"/>
      <c r="E6" s="309"/>
      <c r="F6" s="309"/>
      <c r="G6" s="308" t="s">
        <v>46</v>
      </c>
      <c r="H6" s="308"/>
      <c r="I6" s="309" t="s">
        <v>47</v>
      </c>
      <c r="J6" s="309"/>
      <c r="K6" s="309"/>
      <c r="L6" s="309"/>
    </row>
    <row r="7" spans="1:12" ht="33" customHeight="1" x14ac:dyDescent="0.25">
      <c r="A7" s="183"/>
      <c r="B7" s="183"/>
      <c r="C7" s="309" t="s">
        <v>48</v>
      </c>
      <c r="D7" s="309"/>
      <c r="E7" s="309"/>
      <c r="F7" s="309"/>
      <c r="G7" s="183"/>
      <c r="H7" s="183"/>
      <c r="I7" s="309" t="s">
        <v>48</v>
      </c>
      <c r="J7" s="309"/>
      <c r="K7" s="309"/>
      <c r="L7" s="309"/>
    </row>
    <row r="8" spans="1:12" ht="33" x14ac:dyDescent="0.25">
      <c r="A8" s="183"/>
      <c r="B8" s="183"/>
      <c r="C8" s="184"/>
      <c r="D8" s="184"/>
      <c r="E8" s="184"/>
      <c r="F8" s="184"/>
      <c r="G8" s="183"/>
      <c r="H8" s="183"/>
      <c r="I8" s="184"/>
      <c r="J8" s="184"/>
      <c r="K8" s="184"/>
      <c r="L8" s="184"/>
    </row>
    <row r="9" spans="1:12" ht="44.25" customHeight="1" x14ac:dyDescent="0.25">
      <c r="A9" s="185" t="s">
        <v>49</v>
      </c>
      <c r="B9" s="185"/>
      <c r="C9" s="307" t="s">
        <v>140</v>
      </c>
      <c r="D9" s="307"/>
      <c r="E9" s="307"/>
      <c r="F9" s="185"/>
      <c r="G9" s="185" t="s">
        <v>49</v>
      </c>
      <c r="H9" s="185"/>
      <c r="I9" s="307" t="s">
        <v>141</v>
      </c>
      <c r="J9" s="307"/>
      <c r="K9" s="307"/>
      <c r="L9" s="185"/>
    </row>
    <row r="10" spans="1:12" ht="28.5" thickBot="1" x14ac:dyDescent="0.3">
      <c r="A10" s="75"/>
      <c r="B10" s="186"/>
      <c r="C10" s="187"/>
      <c r="D10" s="187"/>
      <c r="E10" s="188"/>
      <c r="F10" s="75"/>
      <c r="G10" s="75"/>
      <c r="H10" s="186"/>
      <c r="I10" s="189"/>
      <c r="J10" s="189"/>
      <c r="K10" s="188"/>
      <c r="L10" s="75"/>
    </row>
    <row r="11" spans="1:12" ht="81.75" customHeight="1" thickBot="1" x14ac:dyDescent="0.3">
      <c r="A11" s="190"/>
      <c r="B11" s="191"/>
      <c r="C11" s="192" t="s">
        <v>142</v>
      </c>
      <c r="D11" s="192"/>
      <c r="E11" s="193" t="s">
        <v>143</v>
      </c>
      <c r="F11" s="194">
        <v>44656</v>
      </c>
      <c r="G11" s="195"/>
      <c r="H11" s="191"/>
      <c r="I11" s="192" t="str">
        <f>C11</f>
        <v>Выход, гр</v>
      </c>
      <c r="J11" s="192"/>
      <c r="K11" s="193" t="str">
        <f>E11</f>
        <v>Цена Продажная</v>
      </c>
      <c r="L11" s="196">
        <f>F11</f>
        <v>44656</v>
      </c>
    </row>
    <row r="12" spans="1:12" ht="33" customHeight="1" x14ac:dyDescent="0.25">
      <c r="A12" s="197"/>
      <c r="B12" s="198"/>
      <c r="C12" s="199"/>
      <c r="D12" s="198"/>
      <c r="E12" s="200"/>
      <c r="F12" s="201"/>
      <c r="G12" s="202"/>
      <c r="H12" s="203"/>
      <c r="I12" s="204"/>
      <c r="J12" s="203"/>
      <c r="K12" s="205"/>
      <c r="L12" s="206"/>
    </row>
    <row r="13" spans="1:12" ht="30.75" x14ac:dyDescent="0.25">
      <c r="A13" s="207"/>
      <c r="B13" s="208" t="s">
        <v>144</v>
      </c>
      <c r="C13" s="208">
        <v>31</v>
      </c>
      <c r="D13" s="209" t="s">
        <v>145</v>
      </c>
      <c r="E13" s="210"/>
      <c r="F13" s="211"/>
      <c r="G13" s="212"/>
      <c r="H13" s="208" t="str">
        <f>B13</f>
        <v>ЗАВТРАК</v>
      </c>
      <c r="I13" s="208">
        <v>81</v>
      </c>
      <c r="J13" s="209" t="str">
        <f>D13</f>
        <v>чел</v>
      </c>
      <c r="K13" s="210"/>
      <c r="L13" s="211"/>
    </row>
    <row r="14" spans="1:12" ht="30" x14ac:dyDescent="0.25">
      <c r="A14" s="213">
        <v>1</v>
      </c>
      <c r="B14" s="214" t="s">
        <v>105</v>
      </c>
      <c r="C14" s="215" t="s">
        <v>60</v>
      </c>
      <c r="D14" s="215"/>
      <c r="E14" s="210">
        <f>100-19.88-23</f>
        <v>57.120000000000005</v>
      </c>
      <c r="F14" s="216"/>
      <c r="G14" s="213">
        <v>1</v>
      </c>
      <c r="H14" s="214" t="s">
        <v>105</v>
      </c>
      <c r="I14" s="215" t="s">
        <v>106</v>
      </c>
      <c r="J14" s="214"/>
      <c r="K14" s="210">
        <f>100-19.88-23+10.4</f>
        <v>67.52000000000001</v>
      </c>
      <c r="L14" s="217"/>
    </row>
    <row r="15" spans="1:12" ht="30" x14ac:dyDescent="0.25">
      <c r="A15" s="213">
        <f>A14+1</f>
        <v>2</v>
      </c>
      <c r="B15" s="214" t="s">
        <v>109</v>
      </c>
      <c r="C15" s="215" t="s">
        <v>100</v>
      </c>
      <c r="D15" s="215"/>
      <c r="E15" s="210">
        <v>15</v>
      </c>
      <c r="F15" s="216"/>
      <c r="G15" s="213">
        <f>G14+1</f>
        <v>2</v>
      </c>
      <c r="H15" s="214" t="s">
        <v>109</v>
      </c>
      <c r="I15" s="215" t="s">
        <v>100</v>
      </c>
      <c r="J15" s="214"/>
      <c r="K15" s="210">
        <v>15</v>
      </c>
      <c r="L15" s="217"/>
    </row>
    <row r="16" spans="1:12" ht="30" x14ac:dyDescent="0.25">
      <c r="A16" s="213">
        <f>A15+1</f>
        <v>3</v>
      </c>
      <c r="B16" s="214" t="s">
        <v>13</v>
      </c>
      <c r="C16" s="215" t="s">
        <v>12</v>
      </c>
      <c r="D16" s="215"/>
      <c r="E16" s="210">
        <v>10.08</v>
      </c>
      <c r="F16" s="216"/>
      <c r="G16" s="213">
        <f>G15+1</f>
        <v>3</v>
      </c>
      <c r="H16" s="214" t="s">
        <v>13</v>
      </c>
      <c r="I16" s="215" t="s">
        <v>12</v>
      </c>
      <c r="J16" s="214"/>
      <c r="K16" s="210">
        <v>10.08</v>
      </c>
      <c r="L16" s="217"/>
    </row>
    <row r="17" spans="1:12" ht="30" x14ac:dyDescent="0.25">
      <c r="A17" s="213">
        <v>4</v>
      </c>
      <c r="B17" s="214" t="s">
        <v>35</v>
      </c>
      <c r="C17" s="215" t="s">
        <v>8</v>
      </c>
      <c r="D17" s="215"/>
      <c r="E17" s="210"/>
      <c r="F17" s="218"/>
      <c r="G17" s="213">
        <v>4</v>
      </c>
      <c r="H17" s="214" t="s">
        <v>35</v>
      </c>
      <c r="I17" s="215" t="s">
        <v>8</v>
      </c>
      <c r="J17" s="214"/>
      <c r="K17" s="210"/>
      <c r="L17" s="217"/>
    </row>
    <row r="18" spans="1:12" ht="26.25" customHeight="1" x14ac:dyDescent="0.25">
      <c r="A18" s="213"/>
      <c r="B18" s="214"/>
      <c r="C18" s="215"/>
      <c r="D18" s="215"/>
      <c r="E18" s="210"/>
      <c r="F18" s="218"/>
      <c r="G18" s="213"/>
      <c r="H18" s="214"/>
      <c r="I18" s="215"/>
      <c r="J18" s="214"/>
      <c r="K18" s="210"/>
      <c r="L18" s="217"/>
    </row>
    <row r="19" spans="1:12" ht="30" x14ac:dyDescent="0.25">
      <c r="A19" s="213"/>
      <c r="B19" s="214"/>
      <c r="C19" s="215"/>
      <c r="D19" s="215"/>
      <c r="E19" s="210"/>
      <c r="F19" s="219"/>
      <c r="G19" s="213"/>
      <c r="H19" s="214"/>
      <c r="I19" s="215"/>
      <c r="J19" s="214"/>
      <c r="K19" s="210"/>
      <c r="L19" s="219"/>
    </row>
    <row r="20" spans="1:12" ht="30" x14ac:dyDescent="0.25">
      <c r="A20" s="213"/>
      <c r="B20" s="214"/>
      <c r="C20" s="215"/>
      <c r="D20" s="215"/>
      <c r="E20" s="210"/>
      <c r="F20" s="219"/>
      <c r="G20" s="213"/>
      <c r="H20" s="214"/>
      <c r="I20" s="215"/>
      <c r="J20" s="215"/>
      <c r="K20" s="210"/>
      <c r="L20" s="219"/>
    </row>
    <row r="21" spans="1:12" ht="30.75" x14ac:dyDescent="0.25">
      <c r="A21" s="207"/>
      <c r="B21" s="220" t="s">
        <v>0</v>
      </c>
      <c r="C21" s="221"/>
      <c r="D21" s="222"/>
      <c r="E21" s="210">
        <v>115.2</v>
      </c>
      <c r="F21" s="223">
        <f>107.27-E21</f>
        <v>-7.9300000000000068</v>
      </c>
      <c r="G21" s="212"/>
      <c r="H21" s="220" t="s">
        <v>0</v>
      </c>
      <c r="I21" s="221"/>
      <c r="J21" s="222"/>
      <c r="K21" s="210">
        <v>138.6</v>
      </c>
      <c r="L21" s="223">
        <f>129.4-K21</f>
        <v>-9.1999999999999886</v>
      </c>
    </row>
    <row r="22" spans="1:12" ht="30.75" x14ac:dyDescent="0.25">
      <c r="A22" s="207"/>
      <c r="B22" s="224"/>
      <c r="C22" s="225"/>
      <c r="D22" s="224"/>
      <c r="E22" s="210"/>
      <c r="F22" s="217"/>
      <c r="G22" s="226"/>
      <c r="H22" s="224"/>
      <c r="I22" s="225"/>
      <c r="J22" s="227"/>
      <c r="K22" s="210"/>
      <c r="L22" s="228"/>
    </row>
    <row r="23" spans="1:12" ht="30.75" x14ac:dyDescent="0.25">
      <c r="A23" s="207"/>
      <c r="B23" s="229" t="s">
        <v>147</v>
      </c>
      <c r="C23" s="230" t="s">
        <v>160</v>
      </c>
      <c r="D23" s="209" t="s">
        <v>145</v>
      </c>
      <c r="E23" s="210"/>
      <c r="F23" s="219"/>
      <c r="G23" s="207"/>
      <c r="H23" s="229" t="s">
        <v>147</v>
      </c>
      <c r="I23" s="230" t="s">
        <v>160</v>
      </c>
      <c r="J23" s="231" t="str">
        <f>D23</f>
        <v>чел</v>
      </c>
      <c r="K23" s="210"/>
      <c r="L23" s="219"/>
    </row>
    <row r="24" spans="1:12" ht="62.25" customHeight="1" x14ac:dyDescent="0.25">
      <c r="A24" s="213">
        <f>A23+1</f>
        <v>1</v>
      </c>
      <c r="B24" s="214"/>
      <c r="C24" s="215"/>
      <c r="D24" s="215"/>
      <c r="E24" s="210">
        <v>20</v>
      </c>
      <c r="F24" s="232"/>
      <c r="G24" s="213">
        <f>G23+1</f>
        <v>1</v>
      </c>
      <c r="H24" s="214"/>
      <c r="I24" s="215"/>
      <c r="J24" s="214"/>
      <c r="K24" s="210">
        <v>20</v>
      </c>
      <c r="L24" s="232"/>
    </row>
    <row r="25" spans="1:12" ht="30" x14ac:dyDescent="0.25">
      <c r="A25" s="213">
        <f>A24+1</f>
        <v>2</v>
      </c>
      <c r="B25" s="214"/>
      <c r="C25" s="215"/>
      <c r="D25" s="215"/>
      <c r="E25" s="210">
        <v>80</v>
      </c>
      <c r="F25" s="232"/>
      <c r="G25" s="213">
        <f>G24+1</f>
        <v>2</v>
      </c>
      <c r="H25" s="214"/>
      <c r="I25" s="215"/>
      <c r="J25" s="214"/>
      <c r="K25" s="210">
        <v>80</v>
      </c>
      <c r="L25" s="232"/>
    </row>
    <row r="26" spans="1:12" ht="30" x14ac:dyDescent="0.25">
      <c r="A26" s="213">
        <f>A25+1</f>
        <v>3</v>
      </c>
      <c r="B26" s="214"/>
      <c r="C26" s="215"/>
      <c r="D26" s="215"/>
      <c r="E26" s="210">
        <f>69.6-7.5</f>
        <v>62.099999999999994</v>
      </c>
      <c r="F26" s="218"/>
      <c r="G26" s="213">
        <f>G25+1</f>
        <v>3</v>
      </c>
      <c r="H26" s="214"/>
      <c r="I26" s="215"/>
      <c r="J26" s="214"/>
      <c r="K26" s="210">
        <f>62.1*1.2-2.82</f>
        <v>71.7</v>
      </c>
      <c r="L26" s="218"/>
    </row>
    <row r="27" spans="1:12" ht="30.75" x14ac:dyDescent="0.25">
      <c r="A27" s="213">
        <f>A26+1</f>
        <v>4</v>
      </c>
      <c r="B27" s="214"/>
      <c r="C27" s="215"/>
      <c r="D27" s="215"/>
      <c r="E27" s="210">
        <v>15</v>
      </c>
      <c r="F27" s="228"/>
      <c r="G27" s="213">
        <f>G26+1</f>
        <v>4</v>
      </c>
      <c r="H27" s="214"/>
      <c r="I27" s="215"/>
      <c r="J27" s="214"/>
      <c r="K27" s="210">
        <v>18</v>
      </c>
      <c r="L27" s="218"/>
    </row>
    <row r="28" spans="1:12" ht="30.75" x14ac:dyDescent="0.25">
      <c r="A28" s="213">
        <f>A27+1</f>
        <v>5</v>
      </c>
      <c r="B28" s="214"/>
      <c r="C28" s="215"/>
      <c r="D28" s="215"/>
      <c r="E28" s="210">
        <v>20</v>
      </c>
      <c r="F28" s="228"/>
      <c r="G28" s="213">
        <f>G27+1</f>
        <v>5</v>
      </c>
      <c r="H28" s="214"/>
      <c r="I28" s="215"/>
      <c r="J28" s="214"/>
      <c r="K28" s="210">
        <v>20</v>
      </c>
      <c r="L28" s="218"/>
    </row>
    <row r="29" spans="1:12" ht="33" customHeight="1" x14ac:dyDescent="0.25">
      <c r="A29" s="213">
        <v>6</v>
      </c>
      <c r="B29" s="214"/>
      <c r="C29" s="215"/>
      <c r="D29" s="215"/>
      <c r="E29" s="210">
        <v>7.5</v>
      </c>
      <c r="F29" s="228"/>
      <c r="G29" s="213">
        <v>6</v>
      </c>
      <c r="H29" s="214"/>
      <c r="I29" s="215"/>
      <c r="J29" s="214"/>
      <c r="K29" s="210">
        <v>7.5</v>
      </c>
      <c r="L29" s="218"/>
    </row>
    <row r="30" spans="1:12" ht="28.5" customHeight="1" x14ac:dyDescent="0.25">
      <c r="A30" s="213"/>
      <c r="B30" s="214"/>
      <c r="C30" s="215"/>
      <c r="D30" s="215"/>
      <c r="E30" s="210"/>
      <c r="F30" s="228"/>
      <c r="G30" s="213"/>
      <c r="H30" s="214"/>
      <c r="I30" s="215"/>
      <c r="J30" s="214"/>
      <c r="K30" s="210"/>
      <c r="L30" s="218"/>
    </row>
    <row r="31" spans="1:12" ht="30.75" x14ac:dyDescent="0.25">
      <c r="A31" s="207"/>
      <c r="B31" s="214"/>
      <c r="C31" s="215"/>
      <c r="D31" s="215"/>
      <c r="E31" s="210"/>
      <c r="F31" s="228"/>
      <c r="G31" s="212"/>
      <c r="H31" s="214"/>
      <c r="I31" s="215"/>
      <c r="J31" s="214"/>
      <c r="K31" s="210"/>
      <c r="L31" s="228"/>
    </row>
    <row r="32" spans="1:12" ht="30.75" x14ac:dyDescent="0.25">
      <c r="A32" s="207"/>
      <c r="B32" s="233"/>
      <c r="C32" s="234"/>
      <c r="D32" s="222"/>
      <c r="E32" s="210"/>
      <c r="F32" s="228"/>
      <c r="G32" s="207"/>
      <c r="H32" s="233"/>
      <c r="I32" s="234"/>
      <c r="J32" s="221"/>
      <c r="K32" s="210"/>
      <c r="L32" s="228"/>
    </row>
    <row r="33" spans="1:12" ht="30.75" x14ac:dyDescent="0.25">
      <c r="A33" s="207"/>
      <c r="B33" s="235" t="s">
        <v>0</v>
      </c>
      <c r="C33" s="221"/>
      <c r="D33" s="222"/>
      <c r="E33" s="210">
        <v>210.6</v>
      </c>
      <c r="F33" s="223">
        <f>197.87-E33</f>
        <v>-12.72999999999999</v>
      </c>
      <c r="G33" s="207"/>
      <c r="H33" s="235" t="s">
        <v>0</v>
      </c>
      <c r="I33" s="221"/>
      <c r="J33" s="221"/>
      <c r="K33" s="210">
        <v>223.2</v>
      </c>
      <c r="L33" s="223">
        <f>209.73-K33</f>
        <v>-13.469999999999999</v>
      </c>
    </row>
    <row r="34" spans="1:12" ht="30.75" x14ac:dyDescent="0.25">
      <c r="A34" s="207"/>
      <c r="B34" s="227"/>
      <c r="C34" s="236"/>
      <c r="D34" s="222"/>
      <c r="E34" s="210"/>
      <c r="F34" s="228"/>
      <c r="G34" s="207"/>
      <c r="H34" s="227"/>
      <c r="I34" s="236"/>
      <c r="J34" s="221"/>
      <c r="K34" s="210"/>
      <c r="L34" s="228"/>
    </row>
    <row r="35" spans="1:12" ht="30.75" x14ac:dyDescent="0.25">
      <c r="A35" s="207"/>
      <c r="B35" s="229"/>
      <c r="C35" s="237"/>
      <c r="D35" s="209"/>
      <c r="E35" s="210"/>
      <c r="F35" s="219"/>
      <c r="G35" s="207"/>
      <c r="H35" s="229"/>
      <c r="I35" s="237"/>
      <c r="J35" s="231"/>
      <c r="K35" s="210"/>
      <c r="L35" s="219"/>
    </row>
    <row r="36" spans="1:12" ht="30.75" x14ac:dyDescent="0.25">
      <c r="A36" s="207"/>
      <c r="B36" s="229" t="s">
        <v>152</v>
      </c>
      <c r="C36" s="208">
        <v>0</v>
      </c>
      <c r="D36" s="209" t="s">
        <v>145</v>
      </c>
      <c r="E36" s="210"/>
      <c r="F36" s="238"/>
      <c r="G36" s="207"/>
      <c r="H36" s="229" t="s">
        <v>152</v>
      </c>
      <c r="I36" s="208">
        <v>0</v>
      </c>
      <c r="J36" s="231" t="str">
        <f>D36</f>
        <v>чел</v>
      </c>
      <c r="K36" s="210"/>
      <c r="L36" s="238"/>
    </row>
    <row r="37" spans="1:12" ht="30" x14ac:dyDescent="0.25">
      <c r="A37" s="213">
        <v>1</v>
      </c>
      <c r="B37" s="214"/>
      <c r="C37" s="215"/>
      <c r="D37" s="214"/>
      <c r="E37" s="210">
        <f>82.5-20</f>
        <v>62.5</v>
      </c>
      <c r="F37" s="218"/>
      <c r="G37" s="213">
        <f>A37</f>
        <v>1</v>
      </c>
      <c r="H37" s="214"/>
      <c r="I37" s="215"/>
      <c r="J37" s="215"/>
      <c r="K37" s="210">
        <f>82.5-20</f>
        <v>62.5</v>
      </c>
      <c r="L37" s="217"/>
    </row>
    <row r="38" spans="1:12" ht="30" x14ac:dyDescent="0.25">
      <c r="A38" s="213">
        <f>A37+1</f>
        <v>2</v>
      </c>
      <c r="B38" s="214"/>
      <c r="C38" s="215"/>
      <c r="D38" s="214"/>
      <c r="E38" s="210">
        <v>34.700000000000003</v>
      </c>
      <c r="F38" s="218"/>
      <c r="G38" s="213">
        <f>A38</f>
        <v>2</v>
      </c>
      <c r="H38" s="214"/>
      <c r="I38" s="215"/>
      <c r="J38" s="215"/>
      <c r="K38" s="210">
        <v>43.7</v>
      </c>
      <c r="L38" s="217"/>
    </row>
    <row r="39" spans="1:12" ht="30" x14ac:dyDescent="0.25">
      <c r="A39" s="213">
        <v>3</v>
      </c>
      <c r="B39" s="214"/>
      <c r="C39" s="239"/>
      <c r="D39" s="214"/>
      <c r="E39" s="210"/>
      <c r="F39" s="218"/>
      <c r="G39" s="213">
        <v>3</v>
      </c>
      <c r="H39" s="214"/>
      <c r="I39" s="239"/>
      <c r="J39" s="215"/>
      <c r="K39" s="210"/>
      <c r="L39" s="217"/>
    </row>
    <row r="40" spans="1:12" ht="30.75" x14ac:dyDescent="0.25">
      <c r="A40" s="240"/>
      <c r="B40" s="214"/>
      <c r="C40" s="215"/>
      <c r="D40" s="215"/>
      <c r="E40" s="210"/>
      <c r="F40" s="241"/>
      <c r="G40" s="207"/>
      <c r="H40" s="214"/>
      <c r="I40" s="215"/>
      <c r="J40" s="215"/>
      <c r="K40" s="210"/>
      <c r="L40" s="219"/>
    </row>
    <row r="41" spans="1:12" ht="30.75" x14ac:dyDescent="0.25">
      <c r="A41" s="207"/>
      <c r="B41" s="220" t="s">
        <v>0</v>
      </c>
      <c r="C41" s="221"/>
      <c r="D41" s="222"/>
      <c r="E41" s="210">
        <v>97.2</v>
      </c>
      <c r="F41" s="223">
        <f>89.6-E41</f>
        <v>-7.6000000000000085</v>
      </c>
      <c r="G41" s="207"/>
      <c r="H41" s="235" t="str">
        <f>B41</f>
        <v>Итого:</v>
      </c>
      <c r="I41" s="221"/>
      <c r="J41" s="221"/>
      <c r="K41" s="210">
        <v>106.2</v>
      </c>
      <c r="L41" s="223">
        <f>98.6-K41</f>
        <v>-7.6000000000000085</v>
      </c>
    </row>
    <row r="42" spans="1:12" ht="27.75" x14ac:dyDescent="0.25">
      <c r="A42" s="240"/>
      <c r="B42" s="242"/>
      <c r="C42" s="242"/>
      <c r="D42" s="242"/>
      <c r="E42" s="243"/>
      <c r="F42" s="241"/>
      <c r="G42" s="244"/>
      <c r="H42" s="242"/>
      <c r="I42" s="242"/>
      <c r="J42" s="242"/>
      <c r="K42" s="245"/>
      <c r="L42" s="241"/>
    </row>
    <row r="43" spans="1:12" ht="26.25" x14ac:dyDescent="0.25">
      <c r="A43" s="246"/>
      <c r="B43" s="247"/>
      <c r="C43" s="248"/>
      <c r="D43" s="247"/>
      <c r="E43" s="249"/>
      <c r="F43" s="250"/>
      <c r="G43" s="251"/>
      <c r="H43" s="247"/>
      <c r="I43" s="248"/>
      <c r="J43" s="247"/>
      <c r="K43" s="249"/>
      <c r="L43" s="250"/>
    </row>
    <row r="44" spans="1:12" ht="30.75" x14ac:dyDescent="0.25">
      <c r="A44" s="207"/>
      <c r="B44" s="252" t="s">
        <v>71</v>
      </c>
      <c r="C44" s="222"/>
      <c r="D44" s="253" t="s">
        <v>72</v>
      </c>
      <c r="E44" s="254"/>
      <c r="F44" s="211"/>
      <c r="G44" s="212"/>
      <c r="H44" s="252" t="str">
        <f>B44</f>
        <v>Бухгалтер</v>
      </c>
      <c r="I44" s="222"/>
      <c r="J44" s="253" t="str">
        <f>D44</f>
        <v>Гудым Д.С.</v>
      </c>
      <c r="K44" s="254"/>
      <c r="L44" s="211"/>
    </row>
    <row r="45" spans="1:12" ht="31.5" thickBot="1" x14ac:dyDescent="0.3">
      <c r="A45" s="255"/>
      <c r="B45" s="256" t="s">
        <v>154</v>
      </c>
      <c r="C45" s="257"/>
      <c r="D45" s="258" t="s">
        <v>74</v>
      </c>
      <c r="E45" s="259"/>
      <c r="F45" s="260"/>
      <c r="G45" s="255"/>
      <c r="H45" s="256" t="str">
        <f>B45</f>
        <v>Зав.производством</v>
      </c>
      <c r="I45" s="257"/>
      <c r="J45" s="261" t="str">
        <f>D45</f>
        <v>Катанцева Я.В.</v>
      </c>
      <c r="K45" s="259"/>
      <c r="L45" s="260"/>
    </row>
    <row r="46" spans="1:12" ht="22.5" x14ac:dyDescent="0.25">
      <c r="A46" s="262"/>
      <c r="B46" s="263"/>
      <c r="C46" s="263"/>
      <c r="D46" s="263"/>
      <c r="E46" s="262"/>
      <c r="F46" s="262"/>
      <c r="G46" s="263"/>
      <c r="H46" s="263"/>
      <c r="I46" s="263"/>
      <c r="J46" s="263"/>
      <c r="K46" s="262"/>
      <c r="L46" s="262"/>
    </row>
    <row r="47" spans="1:12" ht="22.5" x14ac:dyDescent="0.25">
      <c r="A47" s="262"/>
      <c r="B47" s="263"/>
      <c r="C47" s="263"/>
      <c r="D47" s="263"/>
      <c r="E47" s="262"/>
      <c r="F47" s="262"/>
      <c r="G47" s="263"/>
      <c r="H47" s="263"/>
      <c r="I47" s="263"/>
      <c r="J47" s="263"/>
      <c r="K47" s="262"/>
      <c r="L47" s="262"/>
    </row>
    <row r="48" spans="1:12" ht="22.5" x14ac:dyDescent="0.25">
      <c r="A48" s="262"/>
      <c r="B48" s="263"/>
      <c r="C48" s="263"/>
      <c r="D48" s="263"/>
      <c r="E48" s="262"/>
      <c r="F48" s="262"/>
      <c r="G48" s="263"/>
      <c r="H48" s="263"/>
      <c r="I48" s="263"/>
      <c r="J48" s="263"/>
      <c r="K48" s="262"/>
      <c r="L48" s="262"/>
    </row>
    <row r="49" spans="1:12" ht="30" x14ac:dyDescent="0.25">
      <c r="A49" s="262"/>
      <c r="B49" s="214"/>
      <c r="C49" s="215"/>
      <c r="D49" s="215"/>
      <c r="E49" s="215"/>
      <c r="F49" s="262"/>
      <c r="G49" s="263"/>
      <c r="H49" s="263"/>
      <c r="I49" s="263"/>
      <c r="J49" s="263"/>
      <c r="K49" s="262"/>
      <c r="L49" s="262"/>
    </row>
  </sheetData>
  <mergeCells count="22">
    <mergeCell ref="C9:E9"/>
    <mergeCell ref="I9:K9"/>
    <mergeCell ref="A6:B6"/>
    <mergeCell ref="C6:F6"/>
    <mergeCell ref="G6:H6"/>
    <mergeCell ref="I6:L6"/>
    <mergeCell ref="C7:F7"/>
    <mergeCell ref="I7:L7"/>
    <mergeCell ref="A3:B3"/>
    <mergeCell ref="E3:F3"/>
    <mergeCell ref="G3:H3"/>
    <mergeCell ref="K3:L3"/>
    <mergeCell ref="A4:B4"/>
    <mergeCell ref="E4:F4"/>
    <mergeCell ref="G4:H4"/>
    <mergeCell ref="K4:L4"/>
    <mergeCell ref="A1:B1"/>
    <mergeCell ref="E1:F2"/>
    <mergeCell ref="G1:H1"/>
    <mergeCell ref="K1:L2"/>
    <mergeCell ref="A2:B2"/>
    <mergeCell ref="G2:H2"/>
  </mergeCells>
  <pageMargins left="0.7" right="0.7" top="0.75" bottom="0.75" header="0.3" footer="0.3"/>
  <pageSetup paperSize="9" scale="35" orientation="portrait" r:id="rId1"/>
  <colBreaks count="1" manualBreakCount="1">
    <brk id="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view="pageBreakPreview" zoomScale="40" zoomScaleNormal="60" zoomScaleSheetLayoutView="40" workbookViewId="0">
      <selection activeCell="M30" sqref="M30:N31"/>
    </sheetView>
  </sheetViews>
  <sheetFormatPr defaultRowHeight="18.75" x14ac:dyDescent="0.3"/>
  <cols>
    <col min="1" max="2" width="25.7109375" style="80" customWidth="1"/>
    <col min="3" max="3" width="15.7109375" style="80" customWidth="1"/>
    <col min="4" max="4" width="83.28515625" style="80" customWidth="1"/>
    <col min="5" max="5" width="25.7109375" style="80" customWidth="1"/>
    <col min="6" max="6" width="27.42578125" style="80" customWidth="1"/>
    <col min="7" max="7" width="22.7109375" style="80" customWidth="1"/>
    <col min="8" max="8" width="24.5703125" style="80" customWidth="1"/>
    <col min="9" max="9" width="36.5703125" style="80" customWidth="1"/>
    <col min="10" max="11" width="25.7109375" style="80" customWidth="1"/>
    <col min="12" max="12" width="15.7109375" style="80" customWidth="1"/>
    <col min="13" max="13" width="82.28515625" style="80" customWidth="1"/>
    <col min="14" max="14" width="25.7109375" style="80" customWidth="1"/>
    <col min="15" max="15" width="25.5703125" style="80" customWidth="1"/>
    <col min="16" max="16" width="26.42578125" style="80" customWidth="1"/>
    <col min="17" max="17" width="23.42578125" style="80" customWidth="1"/>
    <col min="18" max="18" width="40.42578125" style="80" customWidth="1"/>
  </cols>
  <sheetData>
    <row r="1" spans="1:18" s="4" customFormat="1" ht="30" customHeight="1" x14ac:dyDescent="0.55000000000000004">
      <c r="A1" s="1" t="s">
        <v>40</v>
      </c>
      <c r="B1" s="1"/>
      <c r="C1" s="2"/>
      <c r="D1" s="2"/>
      <c r="E1" s="3"/>
      <c r="F1" s="320" t="s">
        <v>41</v>
      </c>
      <c r="G1" s="320"/>
      <c r="H1" s="320"/>
      <c r="I1" s="320"/>
      <c r="J1" s="1" t="s">
        <v>40</v>
      </c>
      <c r="K1" s="1"/>
      <c r="L1" s="2"/>
      <c r="M1" s="2"/>
      <c r="N1" s="3"/>
      <c r="O1" s="320" t="s">
        <v>41</v>
      </c>
      <c r="P1" s="320"/>
      <c r="Q1" s="320"/>
      <c r="R1" s="320"/>
    </row>
    <row r="2" spans="1:18" s="4" customFormat="1" ht="42" customHeight="1" x14ac:dyDescent="0.55000000000000004">
      <c r="A2" s="1" t="s">
        <v>42</v>
      </c>
      <c r="B2" s="1"/>
      <c r="C2" s="5"/>
      <c r="D2" s="5"/>
      <c r="E2" s="3"/>
      <c r="F2" s="320"/>
      <c r="G2" s="320"/>
      <c r="H2" s="320"/>
      <c r="I2" s="320"/>
      <c r="J2" s="1" t="s">
        <v>42</v>
      </c>
      <c r="K2" s="1"/>
      <c r="L2" s="5"/>
      <c r="M2" s="5"/>
      <c r="N2" s="3"/>
      <c r="O2" s="320"/>
      <c r="P2" s="320"/>
      <c r="Q2" s="320"/>
      <c r="R2" s="320"/>
    </row>
    <row r="3" spans="1:18" s="4" customFormat="1" ht="42" customHeight="1" x14ac:dyDescent="0.55000000000000004">
      <c r="A3" s="2" t="s">
        <v>44</v>
      </c>
      <c r="B3" s="2"/>
      <c r="C3" s="2"/>
      <c r="D3" s="2"/>
      <c r="E3" s="3"/>
      <c r="F3" s="319" t="s">
        <v>43</v>
      </c>
      <c r="G3" s="319"/>
      <c r="H3" s="319"/>
      <c r="I3" s="319"/>
      <c r="J3" s="2" t="s">
        <v>44</v>
      </c>
      <c r="K3" s="2"/>
      <c r="L3" s="2"/>
      <c r="M3" s="2"/>
      <c r="N3" s="3"/>
      <c r="O3" s="319" t="s">
        <v>43</v>
      </c>
      <c r="P3" s="319"/>
      <c r="Q3" s="319"/>
      <c r="R3" s="319"/>
    </row>
    <row r="4" spans="1:18" s="4" customFormat="1" ht="30" customHeight="1" x14ac:dyDescent="0.55000000000000004">
      <c r="A4" s="2" t="s">
        <v>45</v>
      </c>
      <c r="B4" s="2"/>
      <c r="C4" s="2"/>
      <c r="D4" s="2"/>
      <c r="E4" s="3"/>
      <c r="F4" s="2" t="s">
        <v>45</v>
      </c>
      <c r="G4" s="2"/>
      <c r="H4" s="6"/>
      <c r="I4" s="6"/>
      <c r="J4" s="2" t="s">
        <v>45</v>
      </c>
      <c r="K4" s="2"/>
      <c r="L4" s="2"/>
      <c r="M4" s="2"/>
      <c r="N4" s="3"/>
      <c r="O4" s="2" t="s">
        <v>45</v>
      </c>
      <c r="P4" s="2"/>
      <c r="Q4" s="6"/>
      <c r="R4" s="6"/>
    </row>
    <row r="5" spans="1:18" s="4" customFormat="1" ht="30" customHeight="1" x14ac:dyDescent="0.55000000000000004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s="4" customFormat="1" ht="30" customHeight="1" x14ac:dyDescent="0.55000000000000004">
      <c r="A6" s="323" t="s">
        <v>46</v>
      </c>
      <c r="B6" s="323"/>
      <c r="C6" s="322" t="s">
        <v>47</v>
      </c>
      <c r="D6" s="322"/>
      <c r="E6" s="322"/>
      <c r="F6" s="322"/>
      <c r="G6" s="322"/>
      <c r="H6" s="322"/>
      <c r="I6" s="322"/>
      <c r="J6" s="323" t="s">
        <v>46</v>
      </c>
      <c r="K6" s="323"/>
      <c r="L6" s="322" t="s">
        <v>47</v>
      </c>
      <c r="M6" s="322"/>
      <c r="N6" s="322"/>
      <c r="O6" s="322"/>
      <c r="P6" s="322"/>
      <c r="Q6" s="322"/>
      <c r="R6" s="322"/>
    </row>
    <row r="7" spans="1:18" s="4" customFormat="1" ht="30" customHeight="1" x14ac:dyDescent="0.55000000000000004">
      <c r="A7" s="8"/>
      <c r="B7" s="8"/>
      <c r="C7" s="322" t="s">
        <v>48</v>
      </c>
      <c r="D7" s="322"/>
      <c r="E7" s="322"/>
      <c r="F7" s="322"/>
      <c r="G7" s="322"/>
      <c r="H7" s="322"/>
      <c r="I7" s="322"/>
      <c r="J7" s="8"/>
      <c r="K7" s="8"/>
      <c r="L7" s="322" t="s">
        <v>48</v>
      </c>
      <c r="M7" s="322"/>
      <c r="N7" s="322"/>
      <c r="O7" s="322"/>
      <c r="P7" s="322"/>
      <c r="Q7" s="322"/>
      <c r="R7" s="322"/>
    </row>
    <row r="8" spans="1:18" s="4" customFormat="1" ht="30" customHeight="1" x14ac:dyDescent="0.55000000000000004">
      <c r="A8" s="8"/>
      <c r="B8" s="8"/>
      <c r="C8" s="9"/>
      <c r="D8" s="9"/>
      <c r="E8" s="9"/>
      <c r="F8" s="9"/>
      <c r="G8" s="9"/>
      <c r="H8" s="9"/>
      <c r="I8" s="9"/>
      <c r="J8" s="8"/>
      <c r="K8" s="8"/>
      <c r="L8" s="9"/>
      <c r="M8" s="9"/>
      <c r="N8" s="9"/>
      <c r="O8" s="9"/>
      <c r="P8" s="9"/>
      <c r="Q8" s="9"/>
      <c r="R8" s="9"/>
    </row>
    <row r="9" spans="1:18" s="4" customFormat="1" ht="30" customHeight="1" x14ac:dyDescent="0.55000000000000004">
      <c r="A9" s="10" t="s">
        <v>49</v>
      </c>
      <c r="B9" s="10"/>
      <c r="C9" s="10"/>
      <c r="D9" s="10"/>
      <c r="E9" s="81" t="s">
        <v>50</v>
      </c>
      <c r="F9" s="10"/>
      <c r="G9" s="10"/>
      <c r="H9" s="10"/>
      <c r="I9" s="10"/>
      <c r="J9" s="10" t="s">
        <v>49</v>
      </c>
      <c r="K9" s="10"/>
      <c r="L9" s="10"/>
      <c r="M9" s="10"/>
      <c r="N9" s="81" t="s">
        <v>50</v>
      </c>
      <c r="O9" s="10"/>
      <c r="P9" s="10"/>
      <c r="Q9" s="10"/>
      <c r="R9" s="10"/>
    </row>
    <row r="10" spans="1:18" s="4" customFormat="1" ht="30" customHeight="1" thickBot="1" x14ac:dyDescent="0.6">
      <c r="A10" s="11"/>
      <c r="B10" s="11"/>
      <c r="C10" s="11"/>
      <c r="D10" s="11"/>
      <c r="E10" s="11"/>
      <c r="F10" s="11"/>
      <c r="G10" s="11"/>
      <c r="H10" s="7"/>
      <c r="I10" s="7"/>
      <c r="J10" s="11"/>
      <c r="K10" s="11"/>
      <c r="L10" s="11"/>
      <c r="M10" s="11"/>
      <c r="N10" s="11"/>
      <c r="O10" s="11"/>
      <c r="P10" s="11"/>
      <c r="Q10" s="7"/>
      <c r="R10" s="7"/>
    </row>
    <row r="11" spans="1:18" s="15" customFormat="1" ht="30" customHeight="1" thickBot="1" x14ac:dyDescent="0.5">
      <c r="A11" s="12" t="s">
        <v>28</v>
      </c>
      <c r="B11" s="321" t="s">
        <v>27</v>
      </c>
      <c r="C11" s="321"/>
      <c r="D11" s="321"/>
      <c r="E11" s="321"/>
      <c r="F11" s="13" t="s">
        <v>26</v>
      </c>
      <c r="G11" s="13" t="s">
        <v>25</v>
      </c>
      <c r="H11" s="13" t="s">
        <v>24</v>
      </c>
      <c r="I11" s="14">
        <v>44657</v>
      </c>
      <c r="J11" s="12" t="s">
        <v>28</v>
      </c>
      <c r="K11" s="321" t="s">
        <v>27</v>
      </c>
      <c r="L11" s="321"/>
      <c r="M11" s="321"/>
      <c r="N11" s="321"/>
      <c r="O11" s="13" t="s">
        <v>26</v>
      </c>
      <c r="P11" s="13" t="s">
        <v>29</v>
      </c>
      <c r="Q11" s="13" t="s">
        <v>24</v>
      </c>
      <c r="R11" s="14">
        <f>I11</f>
        <v>44657</v>
      </c>
    </row>
    <row r="12" spans="1:18" s="19" customFormat="1" ht="35.25" customHeight="1" thickBot="1" x14ac:dyDescent="0.3">
      <c r="A12" s="16" t="s">
        <v>23</v>
      </c>
      <c r="B12" s="17" t="s">
        <v>22</v>
      </c>
      <c r="C12" s="17" t="s">
        <v>51</v>
      </c>
      <c r="D12" s="17" t="s">
        <v>21</v>
      </c>
      <c r="E12" s="17" t="s">
        <v>20</v>
      </c>
      <c r="F12" s="17" t="s">
        <v>19</v>
      </c>
      <c r="G12" s="17" t="s">
        <v>18</v>
      </c>
      <c r="H12" s="17" t="s">
        <v>17</v>
      </c>
      <c r="I12" s="18" t="s">
        <v>16</v>
      </c>
      <c r="J12" s="16" t="s">
        <v>23</v>
      </c>
      <c r="K12" s="17" t="s">
        <v>22</v>
      </c>
      <c r="L12" s="17" t="s">
        <v>51</v>
      </c>
      <c r="M12" s="17" t="s">
        <v>21</v>
      </c>
      <c r="N12" s="17" t="s">
        <v>20</v>
      </c>
      <c r="O12" s="17" t="s">
        <v>19</v>
      </c>
      <c r="P12" s="17" t="s">
        <v>18</v>
      </c>
      <c r="Q12" s="17" t="s">
        <v>17</v>
      </c>
      <c r="R12" s="18" t="s">
        <v>16</v>
      </c>
    </row>
    <row r="13" spans="1:18" s="28" customFormat="1" ht="30" customHeight="1" x14ac:dyDescent="0.4">
      <c r="A13" s="20" t="s">
        <v>15</v>
      </c>
      <c r="B13" s="172" t="s">
        <v>104</v>
      </c>
      <c r="C13" s="173">
        <v>31</v>
      </c>
      <c r="D13" s="23" t="s">
        <v>107</v>
      </c>
      <c r="E13" s="24" t="s">
        <v>115</v>
      </c>
      <c r="F13" s="174" t="s">
        <v>116</v>
      </c>
      <c r="G13" s="174" t="s">
        <v>117</v>
      </c>
      <c r="H13" s="174" t="s">
        <v>118</v>
      </c>
      <c r="I13" s="175" t="s">
        <v>119</v>
      </c>
      <c r="J13" s="54" t="s">
        <v>15</v>
      </c>
      <c r="K13" s="172" t="s">
        <v>104</v>
      </c>
      <c r="L13" s="173">
        <v>82</v>
      </c>
      <c r="M13" s="23" t="s">
        <v>107</v>
      </c>
      <c r="N13" s="24" t="s">
        <v>115</v>
      </c>
      <c r="O13" s="174" t="s">
        <v>116</v>
      </c>
      <c r="P13" s="174" t="s">
        <v>117</v>
      </c>
      <c r="Q13" s="174" t="s">
        <v>118</v>
      </c>
      <c r="R13" s="175" t="s">
        <v>119</v>
      </c>
    </row>
    <row r="14" spans="1:18" s="28" customFormat="1" ht="33.75" customHeight="1" x14ac:dyDescent="0.4">
      <c r="A14" s="29"/>
      <c r="B14" s="30" t="s">
        <v>91</v>
      </c>
      <c r="C14" s="38">
        <f>C13</f>
        <v>31</v>
      </c>
      <c r="D14" s="32" t="s">
        <v>92</v>
      </c>
      <c r="E14" s="33" t="s">
        <v>31</v>
      </c>
      <c r="F14" s="35">
        <v>6</v>
      </c>
      <c r="G14" s="35">
        <v>1.4</v>
      </c>
      <c r="H14" s="35">
        <v>38.299999999999997</v>
      </c>
      <c r="I14" s="40">
        <v>180.3</v>
      </c>
      <c r="J14" s="39"/>
      <c r="K14" s="30" t="s">
        <v>91</v>
      </c>
      <c r="L14" s="38">
        <f>L13</f>
        <v>82</v>
      </c>
      <c r="M14" s="32" t="s">
        <v>92</v>
      </c>
      <c r="N14" s="33" t="s">
        <v>32</v>
      </c>
      <c r="O14" s="35">
        <f>6/15*18</f>
        <v>7.2</v>
      </c>
      <c r="P14" s="35">
        <f>1.4/15*18</f>
        <v>1.6799999999999997</v>
      </c>
      <c r="Q14" s="35">
        <f>38.3/15*18</f>
        <v>45.96</v>
      </c>
      <c r="R14" s="40">
        <f>180.3/15*18</f>
        <v>216.36</v>
      </c>
    </row>
    <row r="15" spans="1:18" s="28" customFormat="1" ht="33.75" customHeight="1" x14ac:dyDescent="0.25">
      <c r="A15" s="29"/>
      <c r="B15" s="37" t="s">
        <v>14</v>
      </c>
      <c r="C15" s="38">
        <f t="shared" ref="C15" si="0">C14</f>
        <v>31</v>
      </c>
      <c r="D15" s="32" t="s">
        <v>13</v>
      </c>
      <c r="E15" s="33" t="s">
        <v>12</v>
      </c>
      <c r="F15" s="35">
        <v>2.2999999999999998</v>
      </c>
      <c r="G15" s="35">
        <v>0.9</v>
      </c>
      <c r="H15" s="35">
        <v>15.4</v>
      </c>
      <c r="I15" s="40">
        <v>78.599999999999994</v>
      </c>
      <c r="J15" s="39"/>
      <c r="K15" s="37" t="s">
        <v>14</v>
      </c>
      <c r="L15" s="38">
        <f t="shared" ref="L15" si="1">L14</f>
        <v>82</v>
      </c>
      <c r="M15" s="32" t="s">
        <v>13</v>
      </c>
      <c r="N15" s="33" t="s">
        <v>12</v>
      </c>
      <c r="O15" s="35">
        <v>2.2999999999999998</v>
      </c>
      <c r="P15" s="35">
        <v>0.9</v>
      </c>
      <c r="Q15" s="35">
        <v>15.4</v>
      </c>
      <c r="R15" s="40">
        <v>78.599999999999994</v>
      </c>
    </row>
    <row r="16" spans="1:18" s="28" customFormat="1" ht="33.75" customHeight="1" x14ac:dyDescent="0.25">
      <c r="A16" s="29"/>
      <c r="B16" s="37" t="s">
        <v>1</v>
      </c>
      <c r="C16" s="38">
        <f>C15</f>
        <v>31</v>
      </c>
      <c r="D16" s="32" t="s">
        <v>35</v>
      </c>
      <c r="E16" s="33" t="s">
        <v>8</v>
      </c>
      <c r="F16" s="34">
        <v>0.4</v>
      </c>
      <c r="G16" s="34">
        <v>0.1</v>
      </c>
      <c r="H16" s="34">
        <v>21.6</v>
      </c>
      <c r="I16" s="36">
        <v>83.4</v>
      </c>
      <c r="J16" s="39"/>
      <c r="K16" s="37" t="s">
        <v>1</v>
      </c>
      <c r="L16" s="38">
        <f>L15</f>
        <v>82</v>
      </c>
      <c r="M16" s="32" t="s">
        <v>35</v>
      </c>
      <c r="N16" s="33" t="s">
        <v>8</v>
      </c>
      <c r="O16" s="34">
        <v>0.4</v>
      </c>
      <c r="P16" s="34">
        <v>0.1</v>
      </c>
      <c r="Q16" s="34">
        <v>21.6</v>
      </c>
      <c r="R16" s="36">
        <v>83.4</v>
      </c>
    </row>
    <row r="17" spans="1:18" s="28" customFormat="1" ht="33.75" customHeight="1" x14ac:dyDescent="0.25">
      <c r="A17" s="29"/>
      <c r="B17" s="37"/>
      <c r="C17" s="38"/>
      <c r="D17" s="32"/>
      <c r="E17" s="33"/>
      <c r="F17" s="35"/>
      <c r="G17" s="35"/>
      <c r="H17" s="35"/>
      <c r="I17" s="40"/>
      <c r="J17" s="29"/>
      <c r="K17" s="37"/>
      <c r="L17" s="38"/>
      <c r="M17" s="32"/>
      <c r="N17" s="33"/>
      <c r="O17" s="35"/>
      <c r="P17" s="35"/>
      <c r="Q17" s="35"/>
      <c r="R17" s="40"/>
    </row>
    <row r="18" spans="1:18" s="28" customFormat="1" ht="33.75" customHeight="1" x14ac:dyDescent="0.4">
      <c r="A18" s="29"/>
      <c r="B18" s="30"/>
      <c r="C18" s="31"/>
      <c r="D18" s="32"/>
      <c r="E18" s="33"/>
      <c r="F18" s="35"/>
      <c r="G18" s="35"/>
      <c r="H18" s="35"/>
      <c r="I18" s="40"/>
      <c r="J18" s="29"/>
      <c r="K18" s="37"/>
      <c r="L18" s="38"/>
      <c r="M18" s="32"/>
      <c r="N18" s="33"/>
      <c r="O18" s="35"/>
      <c r="P18" s="35"/>
      <c r="Q18" s="35"/>
      <c r="R18" s="40"/>
    </row>
    <row r="19" spans="1:18" s="28" customFormat="1" ht="36" customHeight="1" thickBot="1" x14ac:dyDescent="0.3">
      <c r="A19" s="41"/>
      <c r="B19" s="42"/>
      <c r="C19" s="43"/>
      <c r="D19" s="44"/>
      <c r="E19" s="45"/>
      <c r="F19" s="46"/>
      <c r="G19" s="46"/>
      <c r="H19" s="46"/>
      <c r="I19" s="47"/>
      <c r="J19" s="41"/>
      <c r="K19" s="42"/>
      <c r="L19" s="43"/>
      <c r="M19" s="44"/>
      <c r="N19" s="45"/>
      <c r="O19" s="46"/>
      <c r="P19" s="46"/>
      <c r="Q19" s="46"/>
      <c r="R19" s="47"/>
    </row>
    <row r="20" spans="1:18" s="28" customFormat="1" ht="36" customHeight="1" thickBot="1" x14ac:dyDescent="0.3">
      <c r="A20" s="316" t="s">
        <v>0</v>
      </c>
      <c r="B20" s="317"/>
      <c r="C20" s="318"/>
      <c r="D20" s="49"/>
      <c r="E20" s="50"/>
      <c r="F20" s="51">
        <f>SUM(F13:F19)</f>
        <v>8.7000000000000011</v>
      </c>
      <c r="G20" s="51">
        <f t="shared" ref="G20:I20" si="2">SUM(G13:G19)</f>
        <v>2.4</v>
      </c>
      <c r="H20" s="51">
        <f t="shared" si="2"/>
        <v>75.3</v>
      </c>
      <c r="I20" s="52">
        <f t="shared" si="2"/>
        <v>342.29999999999995</v>
      </c>
      <c r="J20" s="316" t="s">
        <v>0</v>
      </c>
      <c r="K20" s="317"/>
      <c r="L20" s="318"/>
      <c r="M20" s="49"/>
      <c r="N20" s="50"/>
      <c r="O20" s="51">
        <f>SUM(O13:O19)</f>
        <v>9.9</v>
      </c>
      <c r="P20" s="51">
        <f t="shared" ref="P20:R20" si="3">SUM(P13:P19)</f>
        <v>2.6799999999999997</v>
      </c>
      <c r="Q20" s="51">
        <f t="shared" si="3"/>
        <v>82.960000000000008</v>
      </c>
      <c r="R20" s="52">
        <f t="shared" si="3"/>
        <v>378.36</v>
      </c>
    </row>
    <row r="21" spans="1:18" s="28" customFormat="1" ht="66" customHeight="1" x14ac:dyDescent="0.25">
      <c r="A21" s="20" t="s">
        <v>11</v>
      </c>
      <c r="B21" s="21" t="s">
        <v>30</v>
      </c>
      <c r="C21" s="22">
        <v>31</v>
      </c>
      <c r="D21" s="23" t="s">
        <v>110</v>
      </c>
      <c r="E21" s="24" t="s">
        <v>37</v>
      </c>
      <c r="F21" s="26">
        <v>1.4</v>
      </c>
      <c r="G21" s="26">
        <v>11.4</v>
      </c>
      <c r="H21" s="26">
        <v>4.3</v>
      </c>
      <c r="I21" s="53">
        <v>123.2</v>
      </c>
      <c r="J21" s="20" t="s">
        <v>11</v>
      </c>
      <c r="K21" s="21" t="s">
        <v>30</v>
      </c>
      <c r="L21" s="22">
        <v>87</v>
      </c>
      <c r="M21" s="23" t="s">
        <v>110</v>
      </c>
      <c r="N21" s="24" t="s">
        <v>37</v>
      </c>
      <c r="O21" s="26">
        <v>1.4</v>
      </c>
      <c r="P21" s="26">
        <v>11.4</v>
      </c>
      <c r="Q21" s="26">
        <v>4.3</v>
      </c>
      <c r="R21" s="53">
        <v>123.2</v>
      </c>
    </row>
    <row r="22" spans="1:18" s="55" customFormat="1" ht="67.5" customHeight="1" x14ac:dyDescent="0.25">
      <c r="A22" s="29"/>
      <c r="B22" s="37" t="s">
        <v>10</v>
      </c>
      <c r="C22" s="38">
        <f t="shared" ref="C22:C27" si="4">C21</f>
        <v>31</v>
      </c>
      <c r="D22" s="32" t="s">
        <v>111</v>
      </c>
      <c r="E22" s="33" t="s">
        <v>36</v>
      </c>
      <c r="F22" s="35">
        <v>6.5</v>
      </c>
      <c r="G22" s="35">
        <v>3.3</v>
      </c>
      <c r="H22" s="35">
        <v>13</v>
      </c>
      <c r="I22" s="40">
        <v>107</v>
      </c>
      <c r="J22" s="29"/>
      <c r="K22" s="37" t="s">
        <v>10</v>
      </c>
      <c r="L22" s="38">
        <f t="shared" ref="L22:L27" si="5">L21</f>
        <v>87</v>
      </c>
      <c r="M22" s="32" t="s">
        <v>111</v>
      </c>
      <c r="N22" s="33" t="s">
        <v>36</v>
      </c>
      <c r="O22" s="35">
        <v>6.5</v>
      </c>
      <c r="P22" s="35">
        <v>3.3</v>
      </c>
      <c r="Q22" s="35">
        <v>13</v>
      </c>
      <c r="R22" s="40">
        <v>107</v>
      </c>
    </row>
    <row r="23" spans="1:18" s="58" customFormat="1" ht="30" customHeight="1" x14ac:dyDescent="0.4">
      <c r="A23" s="56"/>
      <c r="B23" s="30" t="s">
        <v>9</v>
      </c>
      <c r="C23" s="38">
        <f t="shared" si="4"/>
        <v>31</v>
      </c>
      <c r="D23" s="32" t="s">
        <v>112</v>
      </c>
      <c r="E23" s="33" t="s">
        <v>64</v>
      </c>
      <c r="F23" s="34">
        <v>14.7</v>
      </c>
      <c r="G23" s="34">
        <f>11.3</f>
        <v>11.3</v>
      </c>
      <c r="H23" s="34">
        <f>3.1</f>
        <v>3.1</v>
      </c>
      <c r="I23" s="36">
        <f>173.6</f>
        <v>173.6</v>
      </c>
      <c r="J23" s="56"/>
      <c r="K23" s="30" t="s">
        <v>9</v>
      </c>
      <c r="L23" s="38">
        <f t="shared" si="5"/>
        <v>87</v>
      </c>
      <c r="M23" s="32" t="s">
        <v>112</v>
      </c>
      <c r="N23" s="33" t="s">
        <v>64</v>
      </c>
      <c r="O23" s="34">
        <v>14.7</v>
      </c>
      <c r="P23" s="34">
        <f>11.3</f>
        <v>11.3</v>
      </c>
      <c r="Q23" s="34">
        <f>3.1</f>
        <v>3.1</v>
      </c>
      <c r="R23" s="36">
        <f>173.6</f>
        <v>173.6</v>
      </c>
    </row>
    <row r="24" spans="1:18" s="58" customFormat="1" ht="30" customHeight="1" x14ac:dyDescent="0.4">
      <c r="A24" s="56"/>
      <c r="B24" s="37" t="s">
        <v>65</v>
      </c>
      <c r="C24" s="38">
        <f t="shared" si="4"/>
        <v>31</v>
      </c>
      <c r="D24" s="32" t="s">
        <v>113</v>
      </c>
      <c r="E24" s="33" t="s">
        <v>31</v>
      </c>
      <c r="F24" s="34">
        <f>4.2/20*15</f>
        <v>3.1500000000000004</v>
      </c>
      <c r="G24" s="34">
        <f>1.6/20*15</f>
        <v>1.2</v>
      </c>
      <c r="H24" s="34">
        <f>29.4/20*15</f>
        <v>22.05</v>
      </c>
      <c r="I24" s="36">
        <f>150/20*15</f>
        <v>112.5</v>
      </c>
      <c r="J24" s="56"/>
      <c r="K24" s="37" t="s">
        <v>65</v>
      </c>
      <c r="L24" s="38">
        <f t="shared" si="5"/>
        <v>87</v>
      </c>
      <c r="M24" s="32" t="s">
        <v>113</v>
      </c>
      <c r="N24" s="33" t="s">
        <v>32</v>
      </c>
      <c r="O24" s="34">
        <f>4.2/20*18</f>
        <v>3.7800000000000002</v>
      </c>
      <c r="P24" s="34">
        <f>1.6/20*18</f>
        <v>1.44</v>
      </c>
      <c r="Q24" s="34">
        <f>29.4/20*18</f>
        <v>26.46</v>
      </c>
      <c r="R24" s="36">
        <f>150/20*18</f>
        <v>135</v>
      </c>
    </row>
    <row r="25" spans="1:18" s="28" customFormat="1" ht="33.75" customHeight="1" x14ac:dyDescent="0.25">
      <c r="A25" s="29"/>
      <c r="B25" s="37" t="s">
        <v>1</v>
      </c>
      <c r="C25" s="38">
        <f t="shared" si="4"/>
        <v>31</v>
      </c>
      <c r="D25" s="32" t="s">
        <v>94</v>
      </c>
      <c r="E25" s="33" t="s">
        <v>8</v>
      </c>
      <c r="F25" s="34">
        <v>0.9</v>
      </c>
      <c r="G25" s="34">
        <v>0.1</v>
      </c>
      <c r="H25" s="34">
        <v>32</v>
      </c>
      <c r="I25" s="36">
        <v>131.80000000000001</v>
      </c>
      <c r="J25" s="29"/>
      <c r="K25" s="37" t="s">
        <v>1</v>
      </c>
      <c r="L25" s="38">
        <f t="shared" si="5"/>
        <v>87</v>
      </c>
      <c r="M25" s="32" t="s">
        <v>94</v>
      </c>
      <c r="N25" s="33" t="s">
        <v>8</v>
      </c>
      <c r="O25" s="34">
        <v>0.9</v>
      </c>
      <c r="P25" s="34">
        <v>0.1</v>
      </c>
      <c r="Q25" s="34">
        <v>32</v>
      </c>
      <c r="R25" s="36">
        <v>131.80000000000001</v>
      </c>
    </row>
    <row r="26" spans="1:18" s="59" customFormat="1" ht="33.75" customHeight="1" x14ac:dyDescent="0.25">
      <c r="A26" s="29"/>
      <c r="B26" s="37" t="s">
        <v>7</v>
      </c>
      <c r="C26" s="38">
        <f t="shared" si="4"/>
        <v>31</v>
      </c>
      <c r="D26" s="32" t="s">
        <v>6</v>
      </c>
      <c r="E26" s="33" t="s">
        <v>3</v>
      </c>
      <c r="F26" s="35">
        <f t="shared" ref="F26:I26" si="6">F25/2</f>
        <v>0.45</v>
      </c>
      <c r="G26" s="35">
        <f t="shared" si="6"/>
        <v>0.05</v>
      </c>
      <c r="H26" s="35">
        <f t="shared" si="6"/>
        <v>16</v>
      </c>
      <c r="I26" s="40">
        <f t="shared" si="6"/>
        <v>65.900000000000006</v>
      </c>
      <c r="J26" s="29"/>
      <c r="K26" s="37" t="s">
        <v>7</v>
      </c>
      <c r="L26" s="38">
        <f t="shared" si="5"/>
        <v>87</v>
      </c>
      <c r="M26" s="32" t="s">
        <v>6</v>
      </c>
      <c r="N26" s="33" t="s">
        <v>3</v>
      </c>
      <c r="O26" s="35">
        <f t="shared" ref="O26:R26" si="7">O25/2</f>
        <v>0.45</v>
      </c>
      <c r="P26" s="35">
        <f t="shared" si="7"/>
        <v>0.05</v>
      </c>
      <c r="Q26" s="35">
        <f t="shared" si="7"/>
        <v>16</v>
      </c>
      <c r="R26" s="40">
        <f t="shared" si="7"/>
        <v>65.900000000000006</v>
      </c>
    </row>
    <row r="27" spans="1:18" s="28" customFormat="1" ht="30" customHeight="1" x14ac:dyDescent="0.25">
      <c r="A27" s="29"/>
      <c r="B27" s="37" t="s">
        <v>5</v>
      </c>
      <c r="C27" s="38">
        <f t="shared" si="4"/>
        <v>31</v>
      </c>
      <c r="D27" s="32" t="s">
        <v>4</v>
      </c>
      <c r="E27" s="33" t="s">
        <v>3</v>
      </c>
      <c r="F27" s="34">
        <v>2.6</v>
      </c>
      <c r="G27" s="34">
        <v>1</v>
      </c>
      <c r="H27" s="34">
        <v>12.8</v>
      </c>
      <c r="I27" s="36">
        <v>77.7</v>
      </c>
      <c r="J27" s="29"/>
      <c r="K27" s="37" t="s">
        <v>5</v>
      </c>
      <c r="L27" s="38">
        <f t="shared" si="5"/>
        <v>87</v>
      </c>
      <c r="M27" s="32" t="s">
        <v>4</v>
      </c>
      <c r="N27" s="33" t="s">
        <v>3</v>
      </c>
      <c r="O27" s="34">
        <v>2.6</v>
      </c>
      <c r="P27" s="34">
        <v>1</v>
      </c>
      <c r="Q27" s="34">
        <v>12.8</v>
      </c>
      <c r="R27" s="36">
        <v>77.7</v>
      </c>
    </row>
    <row r="28" spans="1:18" s="28" customFormat="1" ht="30" customHeight="1" thickBot="1" x14ac:dyDescent="0.3">
      <c r="A28" s="41"/>
      <c r="B28" s="42"/>
      <c r="C28" s="43"/>
      <c r="D28" s="44"/>
      <c r="E28" s="45"/>
      <c r="F28" s="46"/>
      <c r="G28" s="46"/>
      <c r="H28" s="46"/>
      <c r="I28" s="47"/>
      <c r="J28" s="41"/>
      <c r="K28" s="42"/>
      <c r="L28" s="43"/>
      <c r="M28" s="44"/>
      <c r="N28" s="45"/>
      <c r="O28" s="46"/>
      <c r="P28" s="46"/>
      <c r="Q28" s="46"/>
      <c r="R28" s="47"/>
    </row>
    <row r="29" spans="1:18" s="28" customFormat="1" ht="30" customHeight="1" thickBot="1" x14ac:dyDescent="0.3">
      <c r="A29" s="310" t="s">
        <v>0</v>
      </c>
      <c r="B29" s="311"/>
      <c r="C29" s="312"/>
      <c r="D29" s="61"/>
      <c r="E29" s="62"/>
      <c r="F29" s="63">
        <f>SUM(F21:F28)</f>
        <v>29.7</v>
      </c>
      <c r="G29" s="63">
        <f>SUM(G21:G28)</f>
        <v>28.35</v>
      </c>
      <c r="H29" s="63">
        <f>SUM(H21:H28)</f>
        <v>103.25</v>
      </c>
      <c r="I29" s="64">
        <f>SUM(I21:I28)</f>
        <v>791.69999999999993</v>
      </c>
      <c r="J29" s="310" t="s">
        <v>0</v>
      </c>
      <c r="K29" s="311"/>
      <c r="L29" s="312"/>
      <c r="M29" s="61"/>
      <c r="N29" s="62"/>
      <c r="O29" s="63">
        <f>SUM(O21:O28)</f>
        <v>30.330000000000002</v>
      </c>
      <c r="P29" s="63">
        <f>SUM(P21:P28)</f>
        <v>28.590000000000003</v>
      </c>
      <c r="Q29" s="63">
        <f>SUM(Q21:Q28)</f>
        <v>107.66</v>
      </c>
      <c r="R29" s="64">
        <f>SUM(R21:R28)</f>
        <v>814.19999999999993</v>
      </c>
    </row>
    <row r="30" spans="1:18" s="28" customFormat="1" ht="30" customHeight="1" x14ac:dyDescent="0.4">
      <c r="A30" s="20" t="s">
        <v>2</v>
      </c>
      <c r="B30" s="31" t="s">
        <v>1</v>
      </c>
      <c r="C30" s="65">
        <v>30</v>
      </c>
      <c r="D30" s="32" t="s">
        <v>95</v>
      </c>
      <c r="E30" s="33" t="s">
        <v>57</v>
      </c>
      <c r="F30" s="35">
        <v>1.4</v>
      </c>
      <c r="G30" s="35">
        <v>0.2</v>
      </c>
      <c r="H30" s="35">
        <v>26.4</v>
      </c>
      <c r="I30" s="40">
        <v>120</v>
      </c>
      <c r="J30" s="20" t="s">
        <v>2</v>
      </c>
      <c r="K30" s="31" t="s">
        <v>1</v>
      </c>
      <c r="L30" s="65">
        <v>9</v>
      </c>
      <c r="M30" s="32" t="s">
        <v>95</v>
      </c>
      <c r="N30" s="33" t="s">
        <v>57</v>
      </c>
      <c r="O30" s="35">
        <v>1.4</v>
      </c>
      <c r="P30" s="35">
        <v>0.2</v>
      </c>
      <c r="Q30" s="35">
        <v>26.4</v>
      </c>
      <c r="R30" s="40">
        <v>120</v>
      </c>
    </row>
    <row r="31" spans="1:18" s="58" customFormat="1" ht="30" customHeight="1" x14ac:dyDescent="0.4">
      <c r="A31" s="56"/>
      <c r="B31" s="30" t="s">
        <v>97</v>
      </c>
      <c r="C31" s="31">
        <f>C30</f>
        <v>30</v>
      </c>
      <c r="D31" s="32" t="s">
        <v>114</v>
      </c>
      <c r="E31" s="33" t="s">
        <v>33</v>
      </c>
      <c r="F31" s="35">
        <v>5.5</v>
      </c>
      <c r="G31" s="35">
        <v>6.6</v>
      </c>
      <c r="H31" s="35">
        <v>38.9</v>
      </c>
      <c r="I31" s="40">
        <v>237.3</v>
      </c>
      <c r="J31" s="56"/>
      <c r="K31" s="30" t="s">
        <v>97</v>
      </c>
      <c r="L31" s="31">
        <f>L30</f>
        <v>9</v>
      </c>
      <c r="M31" s="32" t="s">
        <v>114</v>
      </c>
      <c r="N31" s="33" t="s">
        <v>34</v>
      </c>
      <c r="O31" s="35">
        <f>5.5/7*9</f>
        <v>7.0714285714285712</v>
      </c>
      <c r="P31" s="35">
        <f>6.6/7*9</f>
        <v>8.4857142857142858</v>
      </c>
      <c r="Q31" s="35">
        <f>38.9/7*9</f>
        <v>50.014285714285712</v>
      </c>
      <c r="R31" s="40">
        <f>237.3/7*9</f>
        <v>305.09999999999997</v>
      </c>
    </row>
    <row r="32" spans="1:18" s="28" customFormat="1" ht="30" customHeight="1" thickBot="1" x14ac:dyDescent="0.45">
      <c r="A32" s="41"/>
      <c r="B32" s="43"/>
      <c r="C32" s="66"/>
      <c r="D32" s="44"/>
      <c r="E32" s="45"/>
      <c r="F32" s="46"/>
      <c r="G32" s="60"/>
      <c r="H32" s="60"/>
      <c r="I32" s="67"/>
      <c r="J32" s="41"/>
      <c r="K32" s="68"/>
      <c r="L32" s="31"/>
      <c r="M32" s="44"/>
      <c r="N32" s="45"/>
      <c r="O32" s="60"/>
      <c r="P32" s="60"/>
      <c r="Q32" s="60"/>
      <c r="R32" s="67"/>
    </row>
    <row r="33" spans="1:18" s="28" customFormat="1" ht="30" customHeight="1" thickBot="1" x14ac:dyDescent="0.3">
      <c r="A33" s="310" t="s">
        <v>0</v>
      </c>
      <c r="B33" s="311"/>
      <c r="C33" s="312"/>
      <c r="D33" s="61"/>
      <c r="E33" s="62"/>
      <c r="F33" s="63">
        <f>SUM(F30:F32)</f>
        <v>6.9</v>
      </c>
      <c r="G33" s="63">
        <f>SUM(G30:G32)</f>
        <v>6.8</v>
      </c>
      <c r="H33" s="63">
        <f>SUM(H30:H32)</f>
        <v>65.3</v>
      </c>
      <c r="I33" s="64">
        <f>SUM(I30:I32)</f>
        <v>357.3</v>
      </c>
      <c r="J33" s="313" t="s">
        <v>0</v>
      </c>
      <c r="K33" s="314"/>
      <c r="L33" s="315"/>
      <c r="M33" s="61"/>
      <c r="N33" s="62"/>
      <c r="O33" s="63">
        <f>SUM(O30:O32)</f>
        <v>8.4714285714285715</v>
      </c>
      <c r="P33" s="63">
        <f>SUM(P30:P32)</f>
        <v>8.6857142857142851</v>
      </c>
      <c r="Q33" s="63">
        <f>SUM(Q30:Q32)</f>
        <v>76.414285714285711</v>
      </c>
      <c r="R33" s="64">
        <f>SUM(R30:R32)</f>
        <v>425.09999999999997</v>
      </c>
    </row>
    <row r="34" spans="1:18" s="149" customFormat="1" ht="24.95" customHeight="1" x14ac:dyDescent="0.25">
      <c r="A34" s="148"/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</row>
    <row r="35" spans="1:18" s="155" customFormat="1" ht="24.95" customHeight="1" x14ac:dyDescent="0.5">
      <c r="A35" s="150"/>
      <c r="B35" s="88"/>
      <c r="C35" s="88"/>
      <c r="D35" s="151" t="s">
        <v>71</v>
      </c>
      <c r="E35" s="152"/>
      <c r="F35" s="153" t="s">
        <v>72</v>
      </c>
      <c r="G35" s="153"/>
      <c r="H35" s="154"/>
      <c r="I35" s="150"/>
      <c r="J35" s="150"/>
      <c r="K35" s="88"/>
      <c r="L35" s="88"/>
      <c r="M35" s="151" t="s">
        <v>71</v>
      </c>
      <c r="N35" s="152"/>
      <c r="O35" s="153" t="s">
        <v>72</v>
      </c>
      <c r="P35" s="153"/>
      <c r="Q35" s="84"/>
      <c r="R35" s="150"/>
    </row>
    <row r="36" spans="1:18" s="157" customFormat="1" ht="24.95" customHeight="1" x14ac:dyDescent="0.5">
      <c r="A36" s="150"/>
      <c r="B36" s="88"/>
      <c r="C36" s="88"/>
      <c r="D36" s="151"/>
      <c r="E36" s="152"/>
      <c r="F36" s="153"/>
      <c r="G36" s="153"/>
      <c r="H36" s="156"/>
      <c r="I36" s="88"/>
      <c r="J36" s="150"/>
      <c r="K36" s="88"/>
      <c r="L36" s="88"/>
      <c r="M36" s="151"/>
      <c r="N36" s="152"/>
      <c r="O36" s="153"/>
      <c r="P36" s="153"/>
      <c r="Q36" s="156"/>
      <c r="R36" s="88"/>
    </row>
    <row r="37" spans="1:18" s="88" customFormat="1" ht="24.95" customHeight="1" x14ac:dyDescent="0.5">
      <c r="A37" s="150"/>
      <c r="D37" s="151" t="s">
        <v>73</v>
      </c>
      <c r="E37" s="152"/>
      <c r="F37" s="158" t="s">
        <v>74</v>
      </c>
      <c r="G37" s="158"/>
      <c r="J37" s="150"/>
      <c r="M37" s="151" t="s">
        <v>73</v>
      </c>
      <c r="N37" s="152"/>
      <c r="O37" s="158" t="s">
        <v>74</v>
      </c>
      <c r="P37" s="158"/>
    </row>
  </sheetData>
  <mergeCells count="18">
    <mergeCell ref="F3:I3"/>
    <mergeCell ref="O3:R3"/>
    <mergeCell ref="F1:I2"/>
    <mergeCell ref="O1:R2"/>
    <mergeCell ref="B11:E11"/>
    <mergeCell ref="K11:N11"/>
    <mergeCell ref="C7:I7"/>
    <mergeCell ref="L7:R7"/>
    <mergeCell ref="J6:K6"/>
    <mergeCell ref="L6:R6"/>
    <mergeCell ref="A6:B6"/>
    <mergeCell ref="C6:I6"/>
    <mergeCell ref="A33:C33"/>
    <mergeCell ref="J33:L33"/>
    <mergeCell ref="A29:C29"/>
    <mergeCell ref="J29:L29"/>
    <mergeCell ref="A20:C20"/>
    <mergeCell ref="J20:L20"/>
  </mergeCells>
  <pageMargins left="0.7" right="0.7" top="0.75" bottom="0.75" header="0.3" footer="0.3"/>
  <pageSetup paperSize="9" scale="39" orientation="landscape" r:id="rId1"/>
  <colBreaks count="1" manualBreakCount="1">
    <brk id="9" max="36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view="pageBreakPreview" topLeftCell="A10" zoomScale="40" zoomScaleNormal="40" zoomScaleSheetLayoutView="40" workbookViewId="0">
      <selection activeCell="B48" sqref="B48:C54"/>
    </sheetView>
  </sheetViews>
  <sheetFormatPr defaultRowHeight="23.25" x14ac:dyDescent="0.25"/>
  <cols>
    <col min="1" max="1" width="5.28515625" style="264" customWidth="1"/>
    <col min="2" max="2" width="90.28515625" style="265" customWidth="1"/>
    <col min="3" max="3" width="20" style="265" customWidth="1"/>
    <col min="4" max="4" width="11.7109375" style="265" customWidth="1"/>
    <col min="5" max="6" width="60.7109375" style="264" customWidth="1"/>
    <col min="7" max="7" width="5.7109375" style="265" customWidth="1"/>
    <col min="8" max="8" width="95.7109375" style="265" customWidth="1"/>
    <col min="9" max="9" width="18.5703125" style="265" customWidth="1"/>
    <col min="10" max="10" width="12" style="265" customWidth="1"/>
    <col min="11" max="11" width="60.7109375" style="264" customWidth="1"/>
    <col min="12" max="12" width="55" style="264" customWidth="1"/>
  </cols>
  <sheetData>
    <row r="1" spans="1:12" ht="33.75" customHeight="1" x14ac:dyDescent="0.25">
      <c r="A1" s="303" t="s">
        <v>40</v>
      </c>
      <c r="B1" s="303"/>
      <c r="C1" s="86"/>
      <c r="D1" s="86"/>
      <c r="E1" s="304" t="s">
        <v>41</v>
      </c>
      <c r="F1" s="304"/>
      <c r="G1" s="303" t="s">
        <v>40</v>
      </c>
      <c r="H1" s="303"/>
      <c r="I1" s="86"/>
      <c r="J1" s="86"/>
      <c r="K1" s="304" t="s">
        <v>41</v>
      </c>
      <c r="L1" s="304"/>
    </row>
    <row r="2" spans="1:12" ht="92.25" customHeight="1" x14ac:dyDescent="0.25">
      <c r="A2" s="305" t="s">
        <v>42</v>
      </c>
      <c r="B2" s="305"/>
      <c r="C2" s="86"/>
      <c r="D2" s="86"/>
      <c r="E2" s="304"/>
      <c r="F2" s="304"/>
      <c r="G2" s="305" t="s">
        <v>42</v>
      </c>
      <c r="H2" s="305"/>
      <c r="I2" s="86"/>
      <c r="J2" s="86"/>
      <c r="K2" s="304"/>
      <c r="L2" s="304"/>
    </row>
    <row r="3" spans="1:12" ht="33.75" customHeight="1" x14ac:dyDescent="0.25">
      <c r="A3" s="303" t="s">
        <v>139</v>
      </c>
      <c r="B3" s="303"/>
      <c r="C3" s="86"/>
      <c r="D3" s="86"/>
      <c r="E3" s="304" t="s">
        <v>75</v>
      </c>
      <c r="F3" s="304"/>
      <c r="G3" s="303" t="s">
        <v>139</v>
      </c>
      <c r="H3" s="303"/>
      <c r="I3" s="86"/>
      <c r="J3" s="86"/>
      <c r="K3" s="304" t="s">
        <v>75</v>
      </c>
      <c r="L3" s="304"/>
    </row>
    <row r="4" spans="1:12" ht="33" x14ac:dyDescent="0.25">
      <c r="A4" s="306" t="s">
        <v>45</v>
      </c>
      <c r="B4" s="306"/>
      <c r="C4" s="86"/>
      <c r="D4" s="86"/>
      <c r="E4" s="306" t="s">
        <v>45</v>
      </c>
      <c r="F4" s="306"/>
      <c r="G4" s="306" t="s">
        <v>45</v>
      </c>
      <c r="H4" s="306"/>
      <c r="I4" s="86"/>
      <c r="J4" s="86"/>
      <c r="K4" s="306" t="s">
        <v>45</v>
      </c>
      <c r="L4" s="306"/>
    </row>
    <row r="5" spans="1:12" ht="33.75" x14ac:dyDescent="0.25">
      <c r="A5" s="182"/>
      <c r="B5" s="182"/>
      <c r="C5" s="182"/>
      <c r="D5" s="182"/>
      <c r="E5" s="86"/>
      <c r="F5" s="86"/>
      <c r="G5" s="182"/>
      <c r="H5" s="182"/>
      <c r="I5" s="182"/>
      <c r="J5" s="182"/>
      <c r="K5" s="86"/>
      <c r="L5" s="86"/>
    </row>
    <row r="6" spans="1:12" ht="87.75" customHeight="1" x14ac:dyDescent="0.25">
      <c r="A6" s="308" t="s">
        <v>46</v>
      </c>
      <c r="B6" s="308"/>
      <c r="C6" s="309" t="s">
        <v>47</v>
      </c>
      <c r="D6" s="309"/>
      <c r="E6" s="309"/>
      <c r="F6" s="309"/>
      <c r="G6" s="308" t="s">
        <v>46</v>
      </c>
      <c r="H6" s="308"/>
      <c r="I6" s="309" t="s">
        <v>47</v>
      </c>
      <c r="J6" s="309"/>
      <c r="K6" s="309"/>
      <c r="L6" s="309"/>
    </row>
    <row r="7" spans="1:12" ht="33" customHeight="1" x14ac:dyDescent="0.25">
      <c r="A7" s="183"/>
      <c r="B7" s="183"/>
      <c r="C7" s="309" t="s">
        <v>48</v>
      </c>
      <c r="D7" s="309"/>
      <c r="E7" s="309"/>
      <c r="F7" s="309"/>
      <c r="G7" s="183"/>
      <c r="H7" s="183"/>
      <c r="I7" s="309" t="s">
        <v>48</v>
      </c>
      <c r="J7" s="309"/>
      <c r="K7" s="309"/>
      <c r="L7" s="309"/>
    </row>
    <row r="8" spans="1:12" ht="33" x14ac:dyDescent="0.25">
      <c r="A8" s="183"/>
      <c r="B8" s="183"/>
      <c r="C8" s="184"/>
      <c r="D8" s="184"/>
      <c r="E8" s="184"/>
      <c r="F8" s="184"/>
      <c r="G8" s="183"/>
      <c r="H8" s="183"/>
      <c r="I8" s="184"/>
      <c r="J8" s="184"/>
      <c r="K8" s="184"/>
      <c r="L8" s="184"/>
    </row>
    <row r="9" spans="1:12" ht="44.25" customHeight="1" x14ac:dyDescent="0.25">
      <c r="A9" s="185" t="s">
        <v>49</v>
      </c>
      <c r="B9" s="185"/>
      <c r="C9" s="307" t="s">
        <v>140</v>
      </c>
      <c r="D9" s="307"/>
      <c r="E9" s="307"/>
      <c r="F9" s="185"/>
      <c r="G9" s="185" t="s">
        <v>49</v>
      </c>
      <c r="H9" s="185"/>
      <c r="I9" s="307" t="s">
        <v>141</v>
      </c>
      <c r="J9" s="307"/>
      <c r="K9" s="307"/>
      <c r="L9" s="185"/>
    </row>
    <row r="10" spans="1:12" ht="28.5" thickBot="1" x14ac:dyDescent="0.3">
      <c r="A10" s="75"/>
      <c r="B10" s="186"/>
      <c r="C10" s="187"/>
      <c r="D10" s="187"/>
      <c r="E10" s="188"/>
      <c r="F10" s="75"/>
      <c r="G10" s="75"/>
      <c r="H10" s="186"/>
      <c r="I10" s="189"/>
      <c r="J10" s="189"/>
      <c r="K10" s="188"/>
      <c r="L10" s="75"/>
    </row>
    <row r="11" spans="1:12" ht="81.75" customHeight="1" thickBot="1" x14ac:dyDescent="0.3">
      <c r="A11" s="190"/>
      <c r="B11" s="191"/>
      <c r="C11" s="192" t="s">
        <v>142</v>
      </c>
      <c r="D11" s="192"/>
      <c r="E11" s="193" t="s">
        <v>143</v>
      </c>
      <c r="F11" s="194">
        <v>44657</v>
      </c>
      <c r="G11" s="195"/>
      <c r="H11" s="191"/>
      <c r="I11" s="192" t="str">
        <f>C11</f>
        <v>Выход, гр</v>
      </c>
      <c r="J11" s="192"/>
      <c r="K11" s="193" t="str">
        <f>E11</f>
        <v>Цена Продажная</v>
      </c>
      <c r="L11" s="196">
        <f>F11</f>
        <v>44657</v>
      </c>
    </row>
    <row r="12" spans="1:12" ht="33" customHeight="1" x14ac:dyDescent="0.25">
      <c r="A12" s="197"/>
      <c r="B12" s="198"/>
      <c r="C12" s="199"/>
      <c r="D12" s="198"/>
      <c r="E12" s="200"/>
      <c r="F12" s="201"/>
      <c r="G12" s="202"/>
      <c r="H12" s="203"/>
      <c r="I12" s="204"/>
      <c r="J12" s="203"/>
      <c r="K12" s="205"/>
      <c r="L12" s="206"/>
    </row>
    <row r="13" spans="1:12" ht="30.75" x14ac:dyDescent="0.25">
      <c r="A13" s="207"/>
      <c r="B13" s="208" t="s">
        <v>144</v>
      </c>
      <c r="C13" s="208">
        <v>31</v>
      </c>
      <c r="D13" s="209" t="s">
        <v>145</v>
      </c>
      <c r="E13" s="210"/>
      <c r="F13" s="211"/>
      <c r="G13" s="212"/>
      <c r="H13" s="208" t="str">
        <f>B13</f>
        <v>ЗАВТРАК</v>
      </c>
      <c r="I13" s="208">
        <v>82</v>
      </c>
      <c r="J13" s="209" t="str">
        <f>D13</f>
        <v>чел</v>
      </c>
      <c r="K13" s="210"/>
      <c r="L13" s="211"/>
    </row>
    <row r="14" spans="1:12" ht="30" x14ac:dyDescent="0.25">
      <c r="A14" s="213">
        <v>1</v>
      </c>
      <c r="B14" s="214" t="s">
        <v>107</v>
      </c>
      <c r="C14" s="215" t="s">
        <v>115</v>
      </c>
      <c r="D14" s="215"/>
      <c r="E14" s="210">
        <f>100-19.88-23</f>
        <v>57.120000000000005</v>
      </c>
      <c r="F14" s="216"/>
      <c r="G14" s="213">
        <v>1</v>
      </c>
      <c r="H14" s="214" t="s">
        <v>107</v>
      </c>
      <c r="I14" s="215" t="s">
        <v>115</v>
      </c>
      <c r="J14" s="214"/>
      <c r="K14" s="210">
        <f>100-19.88-23+10.4</f>
        <v>67.52000000000001</v>
      </c>
      <c r="L14" s="217"/>
    </row>
    <row r="15" spans="1:12" ht="30" x14ac:dyDescent="0.25">
      <c r="A15" s="213">
        <f>A14+1</f>
        <v>2</v>
      </c>
      <c r="B15" s="214" t="s">
        <v>92</v>
      </c>
      <c r="C15" s="215" t="s">
        <v>31</v>
      </c>
      <c r="D15" s="215"/>
      <c r="E15" s="210">
        <v>15</v>
      </c>
      <c r="F15" s="216"/>
      <c r="G15" s="213">
        <f>G14+1</f>
        <v>2</v>
      </c>
      <c r="H15" s="214" t="s">
        <v>92</v>
      </c>
      <c r="I15" s="215" t="s">
        <v>32</v>
      </c>
      <c r="J15" s="214"/>
      <c r="K15" s="210">
        <v>15</v>
      </c>
      <c r="L15" s="217"/>
    </row>
    <row r="16" spans="1:12" ht="30" x14ac:dyDescent="0.25">
      <c r="A16" s="213">
        <f>A15+1</f>
        <v>3</v>
      </c>
      <c r="B16" s="214" t="s">
        <v>13</v>
      </c>
      <c r="C16" s="215" t="s">
        <v>12</v>
      </c>
      <c r="D16" s="215"/>
      <c r="E16" s="210">
        <v>10.08</v>
      </c>
      <c r="F16" s="216"/>
      <c r="G16" s="213">
        <f>G15+1</f>
        <v>3</v>
      </c>
      <c r="H16" s="214" t="s">
        <v>13</v>
      </c>
      <c r="I16" s="215" t="s">
        <v>12</v>
      </c>
      <c r="J16" s="214"/>
      <c r="K16" s="210">
        <v>10.08</v>
      </c>
      <c r="L16" s="217"/>
    </row>
    <row r="17" spans="1:12" ht="30" x14ac:dyDescent="0.25">
      <c r="A17" s="213">
        <v>4</v>
      </c>
      <c r="B17" s="214" t="s">
        <v>35</v>
      </c>
      <c r="C17" s="215" t="s">
        <v>8</v>
      </c>
      <c r="D17" s="215"/>
      <c r="E17" s="210"/>
      <c r="F17" s="218"/>
      <c r="G17" s="213">
        <v>4</v>
      </c>
      <c r="H17" s="214" t="s">
        <v>35</v>
      </c>
      <c r="I17" s="215" t="s">
        <v>8</v>
      </c>
      <c r="J17" s="214"/>
      <c r="K17" s="210"/>
      <c r="L17" s="217"/>
    </row>
    <row r="18" spans="1:12" ht="26.25" customHeight="1" x14ac:dyDescent="0.25">
      <c r="A18" s="213"/>
      <c r="B18" s="214"/>
      <c r="C18" s="215"/>
      <c r="D18" s="215"/>
      <c r="E18" s="210"/>
      <c r="F18" s="218"/>
      <c r="G18" s="213"/>
      <c r="H18" s="214"/>
      <c r="I18" s="215"/>
      <c r="J18" s="214"/>
      <c r="K18" s="210"/>
      <c r="L18" s="217"/>
    </row>
    <row r="19" spans="1:12" ht="30" x14ac:dyDescent="0.25">
      <c r="A19" s="213"/>
      <c r="B19" s="214"/>
      <c r="C19" s="215"/>
      <c r="D19" s="215"/>
      <c r="E19" s="210"/>
      <c r="F19" s="219"/>
      <c r="G19" s="213"/>
      <c r="H19" s="214"/>
      <c r="I19" s="215"/>
      <c r="J19" s="214"/>
      <c r="K19" s="210"/>
      <c r="L19" s="219"/>
    </row>
    <row r="20" spans="1:12" ht="30" x14ac:dyDescent="0.25">
      <c r="A20" s="213"/>
      <c r="B20" s="214"/>
      <c r="C20" s="215"/>
      <c r="D20" s="215"/>
      <c r="E20" s="210"/>
      <c r="F20" s="219"/>
      <c r="G20" s="213"/>
      <c r="H20" s="214"/>
      <c r="I20" s="215"/>
      <c r="J20" s="215"/>
      <c r="K20" s="210"/>
      <c r="L20" s="219"/>
    </row>
    <row r="21" spans="1:12" ht="30.75" x14ac:dyDescent="0.25">
      <c r="A21" s="207"/>
      <c r="B21" s="220" t="s">
        <v>0</v>
      </c>
      <c r="C21" s="221"/>
      <c r="D21" s="222"/>
      <c r="E21" s="210">
        <v>115.2</v>
      </c>
      <c r="F21" s="223">
        <f>107.27-E21</f>
        <v>-7.9300000000000068</v>
      </c>
      <c r="G21" s="212"/>
      <c r="H21" s="220" t="s">
        <v>0</v>
      </c>
      <c r="I21" s="221"/>
      <c r="J21" s="222"/>
      <c r="K21" s="210">
        <v>138.6</v>
      </c>
      <c r="L21" s="223">
        <f>129.4-K21</f>
        <v>-9.1999999999999886</v>
      </c>
    </row>
    <row r="22" spans="1:12" ht="30.75" x14ac:dyDescent="0.25">
      <c r="A22" s="207"/>
      <c r="B22" s="224"/>
      <c r="C22" s="225"/>
      <c r="D22" s="224"/>
      <c r="E22" s="210"/>
      <c r="F22" s="217"/>
      <c r="G22" s="226"/>
      <c r="H22" s="224"/>
      <c r="I22" s="225"/>
      <c r="J22" s="227"/>
      <c r="K22" s="210"/>
      <c r="L22" s="228"/>
    </row>
    <row r="23" spans="1:12" ht="30.75" x14ac:dyDescent="0.25">
      <c r="A23" s="207"/>
      <c r="B23" s="229" t="s">
        <v>147</v>
      </c>
      <c r="C23" s="230" t="s">
        <v>148</v>
      </c>
      <c r="D23" s="209" t="s">
        <v>145</v>
      </c>
      <c r="E23" s="210"/>
      <c r="F23" s="219"/>
      <c r="G23" s="207"/>
      <c r="H23" s="229" t="s">
        <v>147</v>
      </c>
      <c r="I23" s="230" t="s">
        <v>161</v>
      </c>
      <c r="J23" s="231" t="str">
        <f>D23</f>
        <v>чел</v>
      </c>
      <c r="K23" s="210"/>
      <c r="L23" s="219"/>
    </row>
    <row r="24" spans="1:12" ht="62.25" customHeight="1" x14ac:dyDescent="0.25">
      <c r="A24" s="213">
        <f>A23+1</f>
        <v>1</v>
      </c>
      <c r="B24" s="214" t="s">
        <v>110</v>
      </c>
      <c r="C24" s="215" t="s">
        <v>37</v>
      </c>
      <c r="D24" s="215"/>
      <c r="E24" s="210">
        <v>20</v>
      </c>
      <c r="F24" s="232"/>
      <c r="G24" s="213">
        <f>G23+1</f>
        <v>1</v>
      </c>
      <c r="H24" s="214" t="s">
        <v>110</v>
      </c>
      <c r="I24" s="215" t="s">
        <v>37</v>
      </c>
      <c r="J24" s="214"/>
      <c r="K24" s="210">
        <v>20</v>
      </c>
      <c r="L24" s="232"/>
    </row>
    <row r="25" spans="1:12" ht="30" x14ac:dyDescent="0.25">
      <c r="A25" s="213">
        <f>A24+1</f>
        <v>2</v>
      </c>
      <c r="B25" s="214" t="s">
        <v>111</v>
      </c>
      <c r="C25" s="215" t="s">
        <v>36</v>
      </c>
      <c r="D25" s="215"/>
      <c r="E25" s="210">
        <v>80</v>
      </c>
      <c r="F25" s="232"/>
      <c r="G25" s="213">
        <f>G24+1</f>
        <v>2</v>
      </c>
      <c r="H25" s="214" t="s">
        <v>111</v>
      </c>
      <c r="I25" s="215" t="s">
        <v>36</v>
      </c>
      <c r="J25" s="214"/>
      <c r="K25" s="210">
        <v>80</v>
      </c>
      <c r="L25" s="232"/>
    </row>
    <row r="26" spans="1:12" ht="30" x14ac:dyDescent="0.25">
      <c r="A26" s="213">
        <f>A25+1</f>
        <v>3</v>
      </c>
      <c r="B26" s="214" t="s">
        <v>112</v>
      </c>
      <c r="C26" s="215" t="s">
        <v>64</v>
      </c>
      <c r="D26" s="215"/>
      <c r="E26" s="210">
        <f>69.6-7.5</f>
        <v>62.099999999999994</v>
      </c>
      <c r="F26" s="218"/>
      <c r="G26" s="213">
        <f>G25+1</f>
        <v>3</v>
      </c>
      <c r="H26" s="214" t="s">
        <v>112</v>
      </c>
      <c r="I26" s="215" t="s">
        <v>64</v>
      </c>
      <c r="J26" s="214"/>
      <c r="K26" s="210">
        <f>62.1*1.2-2.82</f>
        <v>71.7</v>
      </c>
      <c r="L26" s="218"/>
    </row>
    <row r="27" spans="1:12" ht="30.75" x14ac:dyDescent="0.25">
      <c r="A27" s="213">
        <f>A26+1</f>
        <v>4</v>
      </c>
      <c r="B27" s="214" t="s">
        <v>113</v>
      </c>
      <c r="C27" s="215" t="s">
        <v>31</v>
      </c>
      <c r="D27" s="215"/>
      <c r="E27" s="210">
        <v>15</v>
      </c>
      <c r="F27" s="228"/>
      <c r="G27" s="213">
        <f>G26+1</f>
        <v>4</v>
      </c>
      <c r="H27" s="214" t="s">
        <v>113</v>
      </c>
      <c r="I27" s="215" t="s">
        <v>32</v>
      </c>
      <c r="J27" s="214"/>
      <c r="K27" s="210">
        <v>18</v>
      </c>
      <c r="L27" s="218"/>
    </row>
    <row r="28" spans="1:12" ht="30.75" x14ac:dyDescent="0.25">
      <c r="A28" s="213">
        <f>A27+1</f>
        <v>5</v>
      </c>
      <c r="B28" s="214" t="s">
        <v>94</v>
      </c>
      <c r="C28" s="215" t="s">
        <v>8</v>
      </c>
      <c r="D28" s="215"/>
      <c r="E28" s="210">
        <v>20</v>
      </c>
      <c r="F28" s="228"/>
      <c r="G28" s="213">
        <f>G27+1</f>
        <v>5</v>
      </c>
      <c r="H28" s="214" t="s">
        <v>94</v>
      </c>
      <c r="I28" s="215" t="s">
        <v>8</v>
      </c>
      <c r="J28" s="214"/>
      <c r="K28" s="210">
        <v>20</v>
      </c>
      <c r="L28" s="218"/>
    </row>
    <row r="29" spans="1:12" ht="30.75" customHeight="1" x14ac:dyDescent="0.25">
      <c r="A29" s="213">
        <v>6</v>
      </c>
      <c r="B29" s="214" t="s">
        <v>6</v>
      </c>
      <c r="C29" s="215" t="s">
        <v>3</v>
      </c>
      <c r="D29" s="215"/>
      <c r="E29" s="210">
        <v>7.5</v>
      </c>
      <c r="F29" s="228"/>
      <c r="G29" s="213">
        <v>6</v>
      </c>
      <c r="H29" s="214" t="s">
        <v>6</v>
      </c>
      <c r="I29" s="215" t="s">
        <v>3</v>
      </c>
      <c r="J29" s="214"/>
      <c r="K29" s="210">
        <v>7.5</v>
      </c>
      <c r="L29" s="218"/>
    </row>
    <row r="30" spans="1:12" ht="28.5" customHeight="1" x14ac:dyDescent="0.25">
      <c r="A30" s="213">
        <v>7</v>
      </c>
      <c r="B30" s="214" t="s">
        <v>4</v>
      </c>
      <c r="C30" s="215" t="s">
        <v>3</v>
      </c>
      <c r="D30" s="215"/>
      <c r="E30" s="210"/>
      <c r="F30" s="228"/>
      <c r="G30" s="213">
        <v>7</v>
      </c>
      <c r="H30" s="214" t="s">
        <v>4</v>
      </c>
      <c r="I30" s="215" t="s">
        <v>3</v>
      </c>
      <c r="J30" s="214"/>
      <c r="K30" s="210"/>
      <c r="L30" s="218"/>
    </row>
    <row r="31" spans="1:12" ht="30.75" x14ac:dyDescent="0.25">
      <c r="A31" s="207"/>
      <c r="B31" s="214"/>
      <c r="C31" s="215"/>
      <c r="D31" s="215"/>
      <c r="E31" s="210"/>
      <c r="F31" s="228"/>
      <c r="G31" s="212"/>
      <c r="H31" s="214"/>
      <c r="I31" s="215"/>
      <c r="J31" s="214"/>
      <c r="K31" s="210"/>
      <c r="L31" s="228"/>
    </row>
    <row r="32" spans="1:12" ht="30.75" x14ac:dyDescent="0.25">
      <c r="A32" s="207"/>
      <c r="B32" s="233"/>
      <c r="C32" s="234"/>
      <c r="D32" s="222"/>
      <c r="E32" s="210"/>
      <c r="F32" s="228"/>
      <c r="G32" s="207"/>
      <c r="H32" s="233"/>
      <c r="I32" s="234"/>
      <c r="J32" s="221"/>
      <c r="K32" s="210"/>
      <c r="L32" s="228"/>
    </row>
    <row r="33" spans="1:12" ht="30.75" x14ac:dyDescent="0.25">
      <c r="A33" s="207"/>
      <c r="B33" s="235" t="s">
        <v>0</v>
      </c>
      <c r="C33" s="221"/>
      <c r="D33" s="222"/>
      <c r="E33" s="210">
        <v>210.6</v>
      </c>
      <c r="F33" s="223">
        <f>197.87-E33</f>
        <v>-12.72999999999999</v>
      </c>
      <c r="G33" s="207"/>
      <c r="H33" s="235" t="s">
        <v>0</v>
      </c>
      <c r="I33" s="221"/>
      <c r="J33" s="221"/>
      <c r="K33" s="210">
        <v>223.2</v>
      </c>
      <c r="L33" s="223">
        <f>209.73-K33</f>
        <v>-13.469999999999999</v>
      </c>
    </row>
    <row r="34" spans="1:12" ht="30.75" x14ac:dyDescent="0.25">
      <c r="A34" s="207"/>
      <c r="B34" s="227"/>
      <c r="C34" s="236"/>
      <c r="D34" s="222"/>
      <c r="E34" s="210"/>
      <c r="F34" s="228"/>
      <c r="G34" s="207"/>
      <c r="H34" s="227"/>
      <c r="I34" s="236"/>
      <c r="J34" s="221"/>
      <c r="K34" s="210"/>
      <c r="L34" s="228"/>
    </row>
    <row r="35" spans="1:12" ht="30.75" x14ac:dyDescent="0.25">
      <c r="A35" s="207"/>
      <c r="B35" s="229"/>
      <c r="C35" s="237"/>
      <c r="D35" s="209"/>
      <c r="E35" s="210"/>
      <c r="F35" s="219"/>
      <c r="G35" s="207"/>
      <c r="H35" s="229"/>
      <c r="I35" s="237"/>
      <c r="J35" s="231"/>
      <c r="K35" s="210"/>
      <c r="L35" s="219"/>
    </row>
    <row r="36" spans="1:12" ht="30.75" x14ac:dyDescent="0.25">
      <c r="A36" s="207"/>
      <c r="B36" s="229" t="s">
        <v>152</v>
      </c>
      <c r="C36" s="208">
        <v>30</v>
      </c>
      <c r="D36" s="209" t="s">
        <v>145</v>
      </c>
      <c r="E36" s="210"/>
      <c r="F36" s="238"/>
      <c r="G36" s="207"/>
      <c r="H36" s="229" t="s">
        <v>152</v>
      </c>
      <c r="I36" s="208">
        <v>9</v>
      </c>
      <c r="J36" s="231" t="str">
        <f>D36</f>
        <v>чел</v>
      </c>
      <c r="K36" s="210"/>
      <c r="L36" s="238"/>
    </row>
    <row r="37" spans="1:12" ht="30" x14ac:dyDescent="0.25">
      <c r="A37" s="213">
        <v>1</v>
      </c>
      <c r="B37" s="214" t="s">
        <v>95</v>
      </c>
      <c r="C37" s="215" t="s">
        <v>57</v>
      </c>
      <c r="D37" s="214"/>
      <c r="E37" s="210">
        <f>82.5-20</f>
        <v>62.5</v>
      </c>
      <c r="F37" s="218"/>
      <c r="G37" s="213">
        <f>A37</f>
        <v>1</v>
      </c>
      <c r="H37" s="214" t="s">
        <v>95</v>
      </c>
      <c r="I37" s="215" t="s">
        <v>57</v>
      </c>
      <c r="J37" s="215"/>
      <c r="K37" s="210">
        <f>82.5-20</f>
        <v>62.5</v>
      </c>
      <c r="L37" s="217"/>
    </row>
    <row r="38" spans="1:12" ht="30" x14ac:dyDescent="0.25">
      <c r="A38" s="213">
        <f>A37+1</f>
        <v>2</v>
      </c>
      <c r="B38" s="214" t="s">
        <v>114</v>
      </c>
      <c r="C38" s="215" t="s">
        <v>33</v>
      </c>
      <c r="D38" s="214"/>
      <c r="E38" s="210">
        <v>34.700000000000003</v>
      </c>
      <c r="F38" s="218"/>
      <c r="G38" s="213">
        <f>A38</f>
        <v>2</v>
      </c>
      <c r="H38" s="214" t="s">
        <v>114</v>
      </c>
      <c r="I38" s="215" t="s">
        <v>34</v>
      </c>
      <c r="J38" s="215"/>
      <c r="K38" s="210">
        <v>43.7</v>
      </c>
      <c r="L38" s="217"/>
    </row>
    <row r="39" spans="1:12" ht="30" x14ac:dyDescent="0.25">
      <c r="A39" s="213"/>
      <c r="B39" s="214"/>
      <c r="C39" s="239"/>
      <c r="D39" s="214"/>
      <c r="E39" s="210"/>
      <c r="F39" s="218"/>
      <c r="G39" s="213"/>
      <c r="H39" s="214"/>
      <c r="I39" s="239"/>
      <c r="J39" s="215"/>
      <c r="K39" s="210"/>
      <c r="L39" s="217"/>
    </row>
    <row r="40" spans="1:12" ht="30.75" x14ac:dyDescent="0.25">
      <c r="A40" s="240"/>
      <c r="B40" s="214"/>
      <c r="C40" s="215"/>
      <c r="D40" s="215"/>
      <c r="E40" s="210"/>
      <c r="F40" s="241"/>
      <c r="G40" s="207"/>
      <c r="H40" s="214"/>
      <c r="I40" s="215"/>
      <c r="J40" s="215"/>
      <c r="K40" s="210"/>
      <c r="L40" s="219"/>
    </row>
    <row r="41" spans="1:12" ht="30.75" x14ac:dyDescent="0.25">
      <c r="A41" s="207"/>
      <c r="B41" s="220" t="s">
        <v>0</v>
      </c>
      <c r="C41" s="221"/>
      <c r="D41" s="222"/>
      <c r="E41" s="210">
        <v>97.2</v>
      </c>
      <c r="F41" s="223">
        <f>89.6-E41</f>
        <v>-7.6000000000000085</v>
      </c>
      <c r="G41" s="207"/>
      <c r="H41" s="235" t="str">
        <f>B41</f>
        <v>Итого:</v>
      </c>
      <c r="I41" s="221"/>
      <c r="J41" s="221"/>
      <c r="K41" s="210">
        <v>106.2</v>
      </c>
      <c r="L41" s="223">
        <f>98.6-K41</f>
        <v>-7.6000000000000085</v>
      </c>
    </row>
    <row r="42" spans="1:12" ht="27.75" x14ac:dyDescent="0.25">
      <c r="A42" s="240"/>
      <c r="B42" s="242"/>
      <c r="C42" s="242"/>
      <c r="D42" s="242"/>
      <c r="E42" s="243"/>
      <c r="F42" s="241"/>
      <c r="G42" s="244"/>
      <c r="H42" s="242"/>
      <c r="I42" s="242"/>
      <c r="J42" s="242"/>
      <c r="K42" s="245"/>
      <c r="L42" s="241"/>
    </row>
    <row r="43" spans="1:12" ht="26.25" x14ac:dyDescent="0.25">
      <c r="A43" s="246"/>
      <c r="B43" s="247"/>
      <c r="C43" s="248"/>
      <c r="D43" s="247"/>
      <c r="E43" s="249"/>
      <c r="F43" s="250"/>
      <c r="G43" s="251"/>
      <c r="H43" s="247"/>
      <c r="I43" s="248"/>
      <c r="J43" s="247"/>
      <c r="K43" s="249"/>
      <c r="L43" s="250"/>
    </row>
    <row r="44" spans="1:12" ht="30.75" x14ac:dyDescent="0.25">
      <c r="A44" s="207"/>
      <c r="B44" s="252" t="s">
        <v>71</v>
      </c>
      <c r="C44" s="222"/>
      <c r="D44" s="253" t="s">
        <v>72</v>
      </c>
      <c r="E44" s="254"/>
      <c r="F44" s="211"/>
      <c r="G44" s="212"/>
      <c r="H44" s="252" t="str">
        <f>B44</f>
        <v>Бухгалтер</v>
      </c>
      <c r="I44" s="222"/>
      <c r="J44" s="253" t="str">
        <f>D44</f>
        <v>Гудым Д.С.</v>
      </c>
      <c r="K44" s="254"/>
      <c r="L44" s="211"/>
    </row>
    <row r="45" spans="1:12" ht="31.5" thickBot="1" x14ac:dyDescent="0.3">
      <c r="A45" s="255"/>
      <c r="B45" s="256" t="s">
        <v>154</v>
      </c>
      <c r="C45" s="257"/>
      <c r="D45" s="258" t="s">
        <v>74</v>
      </c>
      <c r="E45" s="259"/>
      <c r="F45" s="260"/>
      <c r="G45" s="255"/>
      <c r="H45" s="256" t="str">
        <f>B45</f>
        <v>Зав.производством</v>
      </c>
      <c r="I45" s="257"/>
      <c r="J45" s="261" t="str">
        <f>D45</f>
        <v>Катанцева Я.В.</v>
      </c>
      <c r="K45" s="259"/>
      <c r="L45" s="260"/>
    </row>
    <row r="46" spans="1:12" ht="22.5" x14ac:dyDescent="0.25">
      <c r="A46" s="262"/>
      <c r="B46" s="263"/>
      <c r="C46" s="263"/>
      <c r="D46" s="263"/>
      <c r="E46" s="262"/>
      <c r="F46" s="262"/>
      <c r="G46" s="263"/>
      <c r="H46" s="263"/>
      <c r="I46" s="263"/>
      <c r="J46" s="263"/>
      <c r="K46" s="262"/>
      <c r="L46" s="262"/>
    </row>
    <row r="47" spans="1:12" ht="22.5" x14ac:dyDescent="0.25">
      <c r="A47" s="262"/>
      <c r="B47" s="263"/>
      <c r="C47" s="263"/>
      <c r="D47" s="263"/>
      <c r="E47" s="262"/>
      <c r="F47" s="262"/>
      <c r="G47" s="263"/>
      <c r="H47" s="263"/>
      <c r="I47" s="263"/>
      <c r="J47" s="263"/>
      <c r="K47" s="262"/>
      <c r="L47" s="262"/>
    </row>
    <row r="48" spans="1:12" ht="22.5" x14ac:dyDescent="0.25">
      <c r="A48" s="262"/>
      <c r="B48" s="263"/>
      <c r="C48" s="263"/>
      <c r="D48" s="263"/>
      <c r="E48" s="262"/>
      <c r="F48" s="262"/>
      <c r="G48" s="263"/>
      <c r="H48" s="263"/>
      <c r="I48" s="263"/>
      <c r="J48" s="263"/>
      <c r="K48" s="262"/>
      <c r="L48" s="262"/>
    </row>
    <row r="49" spans="1:12" ht="30" x14ac:dyDescent="0.25">
      <c r="A49" s="262"/>
      <c r="B49" s="214"/>
      <c r="C49" s="215"/>
      <c r="D49" s="215"/>
      <c r="E49" s="215"/>
      <c r="F49" s="262"/>
      <c r="G49" s="263"/>
      <c r="H49" s="263"/>
      <c r="I49" s="263"/>
      <c r="J49" s="263"/>
      <c r="K49" s="262"/>
      <c r="L49" s="262"/>
    </row>
  </sheetData>
  <mergeCells count="22">
    <mergeCell ref="C9:E9"/>
    <mergeCell ref="I9:K9"/>
    <mergeCell ref="A6:B6"/>
    <mergeCell ref="C6:F6"/>
    <mergeCell ref="G6:H6"/>
    <mergeCell ref="I6:L6"/>
    <mergeCell ref="C7:F7"/>
    <mergeCell ref="I7:L7"/>
    <mergeCell ref="A3:B3"/>
    <mergeCell ref="E3:F3"/>
    <mergeCell ref="G3:H3"/>
    <mergeCell ref="K3:L3"/>
    <mergeCell ref="A4:B4"/>
    <mergeCell ref="E4:F4"/>
    <mergeCell ref="G4:H4"/>
    <mergeCell ref="K4:L4"/>
    <mergeCell ref="A1:B1"/>
    <mergeCell ref="E1:F2"/>
    <mergeCell ref="G1:H1"/>
    <mergeCell ref="K1:L2"/>
    <mergeCell ref="A2:B2"/>
    <mergeCell ref="G2:H2"/>
  </mergeCells>
  <pageMargins left="0.7" right="0.7" top="0.75" bottom="0.75" header="0.3" footer="0.3"/>
  <pageSetup paperSize="9" scale="35" orientation="portrait" r:id="rId1"/>
  <colBreaks count="1" manualBreakCount="1">
    <brk id="6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R37"/>
  <sheetViews>
    <sheetView view="pageBreakPreview" zoomScale="40" zoomScaleNormal="60" zoomScaleSheetLayoutView="40" workbookViewId="0">
      <selection activeCell="M30" sqref="M30:N31"/>
    </sheetView>
  </sheetViews>
  <sheetFormatPr defaultRowHeight="18.75" x14ac:dyDescent="0.3"/>
  <cols>
    <col min="1" max="2" width="25.7109375" style="80" customWidth="1"/>
    <col min="3" max="3" width="15.7109375" style="80" customWidth="1"/>
    <col min="4" max="4" width="83.28515625" style="80" customWidth="1"/>
    <col min="5" max="5" width="25.7109375" style="80" customWidth="1"/>
    <col min="6" max="6" width="27.42578125" style="80" customWidth="1"/>
    <col min="7" max="7" width="22.7109375" style="80" customWidth="1"/>
    <col min="8" max="8" width="24.5703125" style="80" customWidth="1"/>
    <col min="9" max="9" width="36.5703125" style="80" customWidth="1"/>
    <col min="10" max="11" width="25.7109375" style="80" customWidth="1"/>
    <col min="12" max="12" width="15.7109375" style="80" customWidth="1"/>
    <col min="13" max="13" width="82.28515625" style="80" customWidth="1"/>
    <col min="14" max="14" width="25.7109375" style="80" customWidth="1"/>
    <col min="15" max="15" width="25.5703125" style="80" customWidth="1"/>
    <col min="16" max="16" width="26.42578125" style="80" customWidth="1"/>
    <col min="17" max="17" width="23.42578125" style="80" customWidth="1"/>
    <col min="18" max="18" width="40.42578125" style="80" customWidth="1"/>
  </cols>
  <sheetData>
    <row r="1" spans="1:18" s="4" customFormat="1" ht="30" customHeight="1" x14ac:dyDescent="0.55000000000000004">
      <c r="A1" s="1" t="s">
        <v>40</v>
      </c>
      <c r="B1" s="1"/>
      <c r="C1" s="2"/>
      <c r="D1" s="2"/>
      <c r="E1" s="3"/>
      <c r="F1" s="320" t="s">
        <v>41</v>
      </c>
      <c r="G1" s="320"/>
      <c r="H1" s="320"/>
      <c r="I1" s="320"/>
      <c r="J1" s="1" t="s">
        <v>40</v>
      </c>
      <c r="K1" s="1"/>
      <c r="L1" s="2"/>
      <c r="M1" s="2"/>
      <c r="N1" s="3"/>
      <c r="O1" s="320" t="s">
        <v>41</v>
      </c>
      <c r="P1" s="320"/>
      <c r="Q1" s="320"/>
      <c r="R1" s="320"/>
    </row>
    <row r="2" spans="1:18" s="4" customFormat="1" ht="42" customHeight="1" x14ac:dyDescent="0.55000000000000004">
      <c r="A2" s="1" t="s">
        <v>42</v>
      </c>
      <c r="B2" s="1"/>
      <c r="C2" s="5"/>
      <c r="D2" s="5"/>
      <c r="E2" s="3"/>
      <c r="F2" s="320"/>
      <c r="G2" s="320"/>
      <c r="H2" s="320"/>
      <c r="I2" s="320"/>
      <c r="J2" s="1" t="s">
        <v>42</v>
      </c>
      <c r="K2" s="1"/>
      <c r="L2" s="5"/>
      <c r="M2" s="5"/>
      <c r="N2" s="3"/>
      <c r="O2" s="320"/>
      <c r="P2" s="320"/>
      <c r="Q2" s="320"/>
      <c r="R2" s="320"/>
    </row>
    <row r="3" spans="1:18" s="4" customFormat="1" ht="42" customHeight="1" x14ac:dyDescent="0.55000000000000004">
      <c r="A3" s="2" t="s">
        <v>44</v>
      </c>
      <c r="B3" s="2"/>
      <c r="C3" s="2"/>
      <c r="D3" s="2"/>
      <c r="E3" s="3"/>
      <c r="F3" s="319" t="s">
        <v>43</v>
      </c>
      <c r="G3" s="319"/>
      <c r="H3" s="319"/>
      <c r="I3" s="319"/>
      <c r="J3" s="2" t="s">
        <v>44</v>
      </c>
      <c r="K3" s="2"/>
      <c r="L3" s="2"/>
      <c r="M3" s="2"/>
      <c r="N3" s="3"/>
      <c r="O3" s="319" t="s">
        <v>43</v>
      </c>
      <c r="P3" s="319"/>
      <c r="Q3" s="319"/>
      <c r="R3" s="319"/>
    </row>
    <row r="4" spans="1:18" s="4" customFormat="1" ht="30" customHeight="1" x14ac:dyDescent="0.55000000000000004">
      <c r="A4" s="2" t="s">
        <v>45</v>
      </c>
      <c r="B4" s="2"/>
      <c r="C4" s="2"/>
      <c r="D4" s="2"/>
      <c r="E4" s="3"/>
      <c r="F4" s="2" t="s">
        <v>45</v>
      </c>
      <c r="G4" s="2"/>
      <c r="H4" s="6"/>
      <c r="I4" s="6"/>
      <c r="J4" s="2" t="s">
        <v>45</v>
      </c>
      <c r="K4" s="2"/>
      <c r="L4" s="2"/>
      <c r="M4" s="2"/>
      <c r="N4" s="3"/>
      <c r="O4" s="2" t="s">
        <v>45</v>
      </c>
      <c r="P4" s="2"/>
      <c r="Q4" s="6"/>
      <c r="R4" s="6"/>
    </row>
    <row r="5" spans="1:18" s="4" customFormat="1" ht="30" customHeight="1" x14ac:dyDescent="0.55000000000000004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s="4" customFormat="1" ht="30" customHeight="1" x14ac:dyDescent="0.55000000000000004">
      <c r="A6" s="323" t="s">
        <v>46</v>
      </c>
      <c r="B6" s="323"/>
      <c r="C6" s="322" t="s">
        <v>47</v>
      </c>
      <c r="D6" s="322"/>
      <c r="E6" s="322"/>
      <c r="F6" s="322"/>
      <c r="G6" s="322"/>
      <c r="H6" s="322"/>
      <c r="I6" s="322"/>
      <c r="J6" s="323" t="s">
        <v>46</v>
      </c>
      <c r="K6" s="323"/>
      <c r="L6" s="322" t="s">
        <v>47</v>
      </c>
      <c r="M6" s="322"/>
      <c r="N6" s="322"/>
      <c r="O6" s="322"/>
      <c r="P6" s="322"/>
      <c r="Q6" s="322"/>
      <c r="R6" s="322"/>
    </row>
    <row r="7" spans="1:18" s="4" customFormat="1" ht="30" customHeight="1" x14ac:dyDescent="0.55000000000000004">
      <c r="A7" s="8"/>
      <c r="B7" s="8"/>
      <c r="C7" s="322" t="s">
        <v>48</v>
      </c>
      <c r="D7" s="322"/>
      <c r="E7" s="322"/>
      <c r="F7" s="322"/>
      <c r="G7" s="322"/>
      <c r="H7" s="322"/>
      <c r="I7" s="322"/>
      <c r="J7" s="8"/>
      <c r="K7" s="8"/>
      <c r="L7" s="322" t="s">
        <v>48</v>
      </c>
      <c r="M7" s="322"/>
      <c r="N7" s="322"/>
      <c r="O7" s="322"/>
      <c r="P7" s="322"/>
      <c r="Q7" s="322"/>
      <c r="R7" s="322"/>
    </row>
    <row r="8" spans="1:18" s="4" customFormat="1" ht="30" customHeight="1" x14ac:dyDescent="0.55000000000000004">
      <c r="A8" s="8"/>
      <c r="B8" s="8"/>
      <c r="C8" s="9"/>
      <c r="D8" s="9"/>
      <c r="E8" s="9"/>
      <c r="F8" s="9"/>
      <c r="G8" s="9"/>
      <c r="H8" s="9"/>
      <c r="I8" s="9"/>
      <c r="J8" s="8"/>
      <c r="K8" s="8"/>
      <c r="L8" s="9"/>
      <c r="M8" s="9"/>
      <c r="N8" s="9"/>
      <c r="O8" s="9"/>
      <c r="P8" s="9"/>
      <c r="Q8" s="9"/>
      <c r="R8" s="9"/>
    </row>
    <row r="9" spans="1:18" s="4" customFormat="1" ht="30" customHeight="1" x14ac:dyDescent="0.55000000000000004">
      <c r="A9" s="10" t="s">
        <v>49</v>
      </c>
      <c r="B9" s="10"/>
      <c r="C9" s="10"/>
      <c r="D9" s="10"/>
      <c r="E9" s="81" t="s">
        <v>50</v>
      </c>
      <c r="F9" s="10"/>
      <c r="G9" s="10"/>
      <c r="H9" s="10"/>
      <c r="I9" s="10"/>
      <c r="J9" s="10" t="s">
        <v>49</v>
      </c>
      <c r="K9" s="10"/>
      <c r="L9" s="10"/>
      <c r="M9" s="10"/>
      <c r="N9" s="81" t="s">
        <v>50</v>
      </c>
      <c r="O9" s="10"/>
      <c r="P9" s="10"/>
      <c r="Q9" s="10"/>
      <c r="R9" s="10"/>
    </row>
    <row r="10" spans="1:18" s="4" customFormat="1" ht="30" customHeight="1" thickBot="1" x14ac:dyDescent="0.6">
      <c r="A10" s="11"/>
      <c r="B10" s="11"/>
      <c r="C10" s="11"/>
      <c r="D10" s="11"/>
      <c r="E10" s="11"/>
      <c r="F10" s="11"/>
      <c r="G10" s="11"/>
      <c r="H10" s="7"/>
      <c r="I10" s="7"/>
      <c r="J10" s="11"/>
      <c r="K10" s="11"/>
      <c r="L10" s="11"/>
      <c r="M10" s="11"/>
      <c r="N10" s="11"/>
      <c r="O10" s="11"/>
      <c r="P10" s="11"/>
      <c r="Q10" s="7"/>
      <c r="R10" s="7"/>
    </row>
    <row r="11" spans="1:18" s="15" customFormat="1" ht="30" customHeight="1" thickBot="1" x14ac:dyDescent="0.5">
      <c r="A11" s="12" t="s">
        <v>28</v>
      </c>
      <c r="B11" s="321" t="s">
        <v>27</v>
      </c>
      <c r="C11" s="321"/>
      <c r="D11" s="321"/>
      <c r="E11" s="321"/>
      <c r="F11" s="13" t="s">
        <v>26</v>
      </c>
      <c r="G11" s="13" t="s">
        <v>25</v>
      </c>
      <c r="H11" s="13" t="s">
        <v>24</v>
      </c>
      <c r="I11" s="14">
        <v>44658</v>
      </c>
      <c r="J11" s="12" t="s">
        <v>28</v>
      </c>
      <c r="K11" s="321" t="s">
        <v>27</v>
      </c>
      <c r="L11" s="321"/>
      <c r="M11" s="321"/>
      <c r="N11" s="321"/>
      <c r="O11" s="13" t="s">
        <v>26</v>
      </c>
      <c r="P11" s="13" t="s">
        <v>29</v>
      </c>
      <c r="Q11" s="13" t="s">
        <v>24</v>
      </c>
      <c r="R11" s="14">
        <f>I11</f>
        <v>44658</v>
      </c>
    </row>
    <row r="12" spans="1:18" s="19" customFormat="1" ht="35.25" customHeight="1" thickBot="1" x14ac:dyDescent="0.3">
      <c r="A12" s="16" t="s">
        <v>23</v>
      </c>
      <c r="B12" s="17" t="s">
        <v>22</v>
      </c>
      <c r="C12" s="17" t="s">
        <v>51</v>
      </c>
      <c r="D12" s="17" t="s">
        <v>21</v>
      </c>
      <c r="E12" s="17" t="s">
        <v>20</v>
      </c>
      <c r="F12" s="17" t="s">
        <v>19</v>
      </c>
      <c r="G12" s="17" t="s">
        <v>18</v>
      </c>
      <c r="H12" s="17" t="s">
        <v>17</v>
      </c>
      <c r="I12" s="18" t="s">
        <v>16</v>
      </c>
      <c r="J12" s="16" t="s">
        <v>23</v>
      </c>
      <c r="K12" s="17" t="s">
        <v>22</v>
      </c>
      <c r="L12" s="17" t="s">
        <v>51</v>
      </c>
      <c r="M12" s="17" t="s">
        <v>21</v>
      </c>
      <c r="N12" s="17" t="s">
        <v>20</v>
      </c>
      <c r="O12" s="17" t="s">
        <v>19</v>
      </c>
      <c r="P12" s="17" t="s">
        <v>18</v>
      </c>
      <c r="Q12" s="17" t="s">
        <v>17</v>
      </c>
      <c r="R12" s="18" t="s">
        <v>16</v>
      </c>
    </row>
    <row r="13" spans="1:18" s="28" customFormat="1" ht="30" customHeight="1" x14ac:dyDescent="0.4">
      <c r="A13" s="20" t="s">
        <v>15</v>
      </c>
      <c r="B13" s="172" t="s">
        <v>104</v>
      </c>
      <c r="C13" s="173">
        <v>31</v>
      </c>
      <c r="D13" s="23" t="s">
        <v>107</v>
      </c>
      <c r="E13" s="24" t="s">
        <v>115</v>
      </c>
      <c r="F13" s="25">
        <v>9.9</v>
      </c>
      <c r="G13" s="25">
        <v>17.899999999999999</v>
      </c>
      <c r="H13" s="26">
        <v>1.6</v>
      </c>
      <c r="I13" s="27">
        <v>207</v>
      </c>
      <c r="J13" s="54" t="s">
        <v>15</v>
      </c>
      <c r="K13" s="172" t="s">
        <v>104</v>
      </c>
      <c r="L13" s="173">
        <v>82</v>
      </c>
      <c r="M13" s="23" t="s">
        <v>107</v>
      </c>
      <c r="N13" s="24" t="s">
        <v>115</v>
      </c>
      <c r="O13" s="25">
        <v>9.9</v>
      </c>
      <c r="P13" s="25">
        <v>17.899999999999999</v>
      </c>
      <c r="Q13" s="26">
        <v>1.6</v>
      </c>
      <c r="R13" s="27">
        <v>207</v>
      </c>
    </row>
    <row r="14" spans="1:18" s="28" customFormat="1" ht="33.75" customHeight="1" x14ac:dyDescent="0.4">
      <c r="A14" s="29"/>
      <c r="B14" s="30" t="s">
        <v>91</v>
      </c>
      <c r="C14" s="38">
        <f>C13</f>
        <v>31</v>
      </c>
      <c r="D14" s="32" t="s">
        <v>92</v>
      </c>
      <c r="E14" s="33" t="s">
        <v>31</v>
      </c>
      <c r="F14" s="34">
        <v>5.2</v>
      </c>
      <c r="G14" s="34">
        <v>4.8</v>
      </c>
      <c r="H14" s="35">
        <v>31.4</v>
      </c>
      <c r="I14" s="36">
        <v>189</v>
      </c>
      <c r="J14" s="39"/>
      <c r="K14" s="30" t="s">
        <v>91</v>
      </c>
      <c r="L14" s="38">
        <f>L13</f>
        <v>82</v>
      </c>
      <c r="M14" s="32" t="s">
        <v>92</v>
      </c>
      <c r="N14" s="33" t="s">
        <v>32</v>
      </c>
      <c r="O14" s="34">
        <f>5.2/15*18</f>
        <v>6.24</v>
      </c>
      <c r="P14" s="34">
        <f>4.8/15*18</f>
        <v>5.76</v>
      </c>
      <c r="Q14" s="35">
        <f>31.4/15*18</f>
        <v>37.68</v>
      </c>
      <c r="R14" s="36">
        <f>189/15*18</f>
        <v>226.79999999999998</v>
      </c>
    </row>
    <row r="15" spans="1:18" s="28" customFormat="1" ht="33.75" customHeight="1" x14ac:dyDescent="0.25">
      <c r="A15" s="29"/>
      <c r="B15" s="37" t="s">
        <v>14</v>
      </c>
      <c r="C15" s="38">
        <f t="shared" ref="C15" si="0">C14</f>
        <v>31</v>
      </c>
      <c r="D15" s="32" t="s">
        <v>13</v>
      </c>
      <c r="E15" s="33" t="s">
        <v>12</v>
      </c>
      <c r="F15" s="34">
        <v>2.2999999999999998</v>
      </c>
      <c r="G15" s="34">
        <v>0.9</v>
      </c>
      <c r="H15" s="35">
        <v>14.9</v>
      </c>
      <c r="I15" s="36">
        <v>77</v>
      </c>
      <c r="J15" s="39"/>
      <c r="K15" s="37" t="s">
        <v>14</v>
      </c>
      <c r="L15" s="38">
        <f t="shared" ref="L15" si="1">L14</f>
        <v>82</v>
      </c>
      <c r="M15" s="32" t="s">
        <v>13</v>
      </c>
      <c r="N15" s="33" t="s">
        <v>12</v>
      </c>
      <c r="O15" s="34">
        <v>2.2999999999999998</v>
      </c>
      <c r="P15" s="34">
        <v>0.9</v>
      </c>
      <c r="Q15" s="35">
        <v>14.9</v>
      </c>
      <c r="R15" s="36">
        <v>77</v>
      </c>
    </row>
    <row r="16" spans="1:18" s="28" customFormat="1" ht="33.75" customHeight="1" x14ac:dyDescent="0.25">
      <c r="A16" s="29"/>
      <c r="B16" s="37" t="s">
        <v>1</v>
      </c>
      <c r="C16" s="38">
        <f>C15</f>
        <v>31</v>
      </c>
      <c r="D16" s="32" t="s">
        <v>35</v>
      </c>
      <c r="E16" s="33" t="s">
        <v>8</v>
      </c>
      <c r="F16" s="34">
        <v>0</v>
      </c>
      <c r="G16" s="34">
        <v>0</v>
      </c>
      <c r="H16" s="35">
        <v>10</v>
      </c>
      <c r="I16" s="36">
        <v>40</v>
      </c>
      <c r="J16" s="39"/>
      <c r="K16" s="37" t="s">
        <v>1</v>
      </c>
      <c r="L16" s="38">
        <f>L15</f>
        <v>82</v>
      </c>
      <c r="M16" s="32" t="s">
        <v>35</v>
      </c>
      <c r="N16" s="33" t="s">
        <v>8</v>
      </c>
      <c r="O16" s="34">
        <v>0</v>
      </c>
      <c r="P16" s="34">
        <v>0</v>
      </c>
      <c r="Q16" s="35">
        <v>10</v>
      </c>
      <c r="R16" s="36">
        <v>40</v>
      </c>
    </row>
    <row r="17" spans="1:18" s="28" customFormat="1" ht="33.75" customHeight="1" x14ac:dyDescent="0.25">
      <c r="A17" s="29"/>
      <c r="B17" s="37" t="s">
        <v>58</v>
      </c>
      <c r="C17" s="38">
        <f>C16</f>
        <v>31</v>
      </c>
      <c r="D17" s="32" t="s">
        <v>122</v>
      </c>
      <c r="E17" s="33" t="s">
        <v>64</v>
      </c>
      <c r="F17" s="34">
        <v>0.4</v>
      </c>
      <c r="G17" s="34">
        <v>0.4</v>
      </c>
      <c r="H17" s="35">
        <v>9.8000000000000007</v>
      </c>
      <c r="I17" s="36">
        <v>44</v>
      </c>
      <c r="J17" s="29"/>
      <c r="K17" s="37" t="s">
        <v>58</v>
      </c>
      <c r="L17" s="38">
        <f>L16</f>
        <v>82</v>
      </c>
      <c r="M17" s="32" t="s">
        <v>122</v>
      </c>
      <c r="N17" s="33" t="s">
        <v>57</v>
      </c>
      <c r="O17" s="34">
        <v>0.4</v>
      </c>
      <c r="P17" s="34">
        <v>0.4</v>
      </c>
      <c r="Q17" s="35">
        <v>9.8000000000000007</v>
      </c>
      <c r="R17" s="36">
        <v>44</v>
      </c>
    </row>
    <row r="18" spans="1:18" s="28" customFormat="1" ht="33.75" customHeight="1" x14ac:dyDescent="0.4">
      <c r="A18" s="29"/>
      <c r="B18" s="176"/>
      <c r="C18" s="177"/>
      <c r="D18" s="178"/>
      <c r="E18" s="179"/>
      <c r="F18" s="35"/>
      <c r="G18" s="35"/>
      <c r="H18" s="35"/>
      <c r="I18" s="40"/>
      <c r="J18" s="29"/>
      <c r="K18" s="37"/>
      <c r="L18" s="38"/>
      <c r="M18" s="32"/>
      <c r="N18" s="33"/>
      <c r="O18" s="35"/>
      <c r="P18" s="35"/>
      <c r="Q18" s="35"/>
      <c r="R18" s="40"/>
    </row>
    <row r="19" spans="1:18" s="28" customFormat="1" ht="36" customHeight="1" thickBot="1" x14ac:dyDescent="0.3">
      <c r="A19" s="41"/>
      <c r="B19" s="42"/>
      <c r="C19" s="43"/>
      <c r="D19" s="44"/>
      <c r="E19" s="45"/>
      <c r="F19" s="46"/>
      <c r="G19" s="46"/>
      <c r="H19" s="46"/>
      <c r="I19" s="47"/>
      <c r="J19" s="41"/>
      <c r="K19" s="42"/>
      <c r="L19" s="43"/>
      <c r="M19" s="44"/>
      <c r="N19" s="45"/>
      <c r="O19" s="46"/>
      <c r="P19" s="46"/>
      <c r="Q19" s="46"/>
      <c r="R19" s="47"/>
    </row>
    <row r="20" spans="1:18" s="28" customFormat="1" ht="36" customHeight="1" thickBot="1" x14ac:dyDescent="0.3">
      <c r="A20" s="316" t="s">
        <v>0</v>
      </c>
      <c r="B20" s="317"/>
      <c r="C20" s="318"/>
      <c r="D20" s="49"/>
      <c r="E20" s="50"/>
      <c r="F20" s="51">
        <f>SUM(F13:F19)</f>
        <v>17.8</v>
      </c>
      <c r="G20" s="51">
        <f t="shared" ref="G20:I20" si="2">SUM(G13:G19)</f>
        <v>23.999999999999996</v>
      </c>
      <c r="H20" s="51">
        <f t="shared" si="2"/>
        <v>67.7</v>
      </c>
      <c r="I20" s="52">
        <f t="shared" si="2"/>
        <v>557</v>
      </c>
      <c r="J20" s="316" t="s">
        <v>0</v>
      </c>
      <c r="K20" s="317"/>
      <c r="L20" s="318"/>
      <c r="M20" s="49"/>
      <c r="N20" s="50"/>
      <c r="O20" s="51">
        <f>SUM(O13:O19)</f>
        <v>18.84</v>
      </c>
      <c r="P20" s="51">
        <f t="shared" ref="P20:R20" si="3">SUM(P13:P19)</f>
        <v>24.959999999999994</v>
      </c>
      <c r="Q20" s="51">
        <f t="shared" si="3"/>
        <v>73.98</v>
      </c>
      <c r="R20" s="52">
        <f t="shared" si="3"/>
        <v>594.79999999999995</v>
      </c>
    </row>
    <row r="21" spans="1:18" s="28" customFormat="1" ht="66" customHeight="1" x14ac:dyDescent="0.25">
      <c r="A21" s="20" t="s">
        <v>11</v>
      </c>
      <c r="B21" s="21" t="s">
        <v>30</v>
      </c>
      <c r="C21" s="22">
        <v>31</v>
      </c>
      <c r="D21" s="23" t="s">
        <v>123</v>
      </c>
      <c r="E21" s="24" t="s">
        <v>37</v>
      </c>
      <c r="F21" s="25">
        <f>0.5/6*8</f>
        <v>0.66666666666666663</v>
      </c>
      <c r="G21" s="25">
        <f>7/6*8</f>
        <v>9.3333333333333339</v>
      </c>
      <c r="H21" s="26">
        <f>1.9/6*8</f>
        <v>2.5333333333333332</v>
      </c>
      <c r="I21" s="27">
        <f>73/6*8</f>
        <v>97.333333333333329</v>
      </c>
      <c r="J21" s="20" t="s">
        <v>11</v>
      </c>
      <c r="K21" s="21" t="s">
        <v>30</v>
      </c>
      <c r="L21" s="22">
        <v>87</v>
      </c>
      <c r="M21" s="23" t="s">
        <v>123</v>
      </c>
      <c r="N21" s="24" t="s">
        <v>37</v>
      </c>
      <c r="O21" s="25">
        <f>0.5/6*8</f>
        <v>0.66666666666666663</v>
      </c>
      <c r="P21" s="25">
        <f>7/6*8</f>
        <v>9.3333333333333339</v>
      </c>
      <c r="Q21" s="26">
        <f>1.9/6*8</f>
        <v>2.5333333333333332</v>
      </c>
      <c r="R21" s="27">
        <f>73/6*8</f>
        <v>97.333333333333329</v>
      </c>
    </row>
    <row r="22" spans="1:18" s="55" customFormat="1" ht="67.5" customHeight="1" x14ac:dyDescent="0.25">
      <c r="A22" s="29"/>
      <c r="B22" s="37" t="s">
        <v>10</v>
      </c>
      <c r="C22" s="38">
        <f t="shared" ref="C22:C27" si="4">C21</f>
        <v>31</v>
      </c>
      <c r="D22" s="32" t="s">
        <v>120</v>
      </c>
      <c r="E22" s="33" t="s">
        <v>36</v>
      </c>
      <c r="F22" s="34">
        <v>13.9</v>
      </c>
      <c r="G22" s="34">
        <v>17.899999999999999</v>
      </c>
      <c r="H22" s="35">
        <v>11.7</v>
      </c>
      <c r="I22" s="36">
        <v>263</v>
      </c>
      <c r="J22" s="29"/>
      <c r="K22" s="37" t="s">
        <v>10</v>
      </c>
      <c r="L22" s="38">
        <f t="shared" ref="L22:L27" si="5">L21</f>
        <v>87</v>
      </c>
      <c r="M22" s="32" t="s">
        <v>120</v>
      </c>
      <c r="N22" s="33" t="s">
        <v>36</v>
      </c>
      <c r="O22" s="34">
        <v>13.9</v>
      </c>
      <c r="P22" s="34">
        <v>17.899999999999999</v>
      </c>
      <c r="Q22" s="35">
        <v>11.7</v>
      </c>
      <c r="R22" s="36">
        <v>263</v>
      </c>
    </row>
    <row r="23" spans="1:18" s="58" customFormat="1" ht="30" customHeight="1" x14ac:dyDescent="0.4">
      <c r="A23" s="56"/>
      <c r="B23" s="30" t="s">
        <v>9</v>
      </c>
      <c r="C23" s="38">
        <f t="shared" si="4"/>
        <v>31</v>
      </c>
      <c r="D23" s="32" t="s">
        <v>112</v>
      </c>
      <c r="E23" s="33" t="s">
        <v>64</v>
      </c>
      <c r="F23" s="34">
        <v>17.100000000000001</v>
      </c>
      <c r="G23" s="34">
        <v>6.3</v>
      </c>
      <c r="H23" s="35">
        <v>11.6</v>
      </c>
      <c r="I23" s="36">
        <v>172</v>
      </c>
      <c r="J23" s="56"/>
      <c r="K23" s="30" t="s">
        <v>9</v>
      </c>
      <c r="L23" s="38">
        <f t="shared" si="5"/>
        <v>87</v>
      </c>
      <c r="M23" s="32" t="s">
        <v>112</v>
      </c>
      <c r="N23" s="33" t="s">
        <v>64</v>
      </c>
      <c r="O23" s="34">
        <v>17.100000000000001</v>
      </c>
      <c r="P23" s="34">
        <v>6.3</v>
      </c>
      <c r="Q23" s="35">
        <v>11.6</v>
      </c>
      <c r="R23" s="36">
        <v>172</v>
      </c>
    </row>
    <row r="24" spans="1:18" s="58" customFormat="1" ht="30" customHeight="1" x14ac:dyDescent="0.4">
      <c r="A24" s="56"/>
      <c r="B24" s="37" t="s">
        <v>65</v>
      </c>
      <c r="C24" s="38">
        <f t="shared" si="4"/>
        <v>31</v>
      </c>
      <c r="D24" s="32" t="s">
        <v>113</v>
      </c>
      <c r="E24" s="33" t="s">
        <v>31</v>
      </c>
      <c r="F24" s="34">
        <v>3</v>
      </c>
      <c r="G24" s="34">
        <v>5.3</v>
      </c>
      <c r="H24" s="35">
        <v>20</v>
      </c>
      <c r="I24" s="36">
        <v>140</v>
      </c>
      <c r="J24" s="29"/>
      <c r="K24" s="37" t="s">
        <v>65</v>
      </c>
      <c r="L24" s="38">
        <f t="shared" si="5"/>
        <v>87</v>
      </c>
      <c r="M24" s="32" t="s">
        <v>113</v>
      </c>
      <c r="N24" s="33" t="s">
        <v>32</v>
      </c>
      <c r="O24" s="34">
        <v>3.7</v>
      </c>
      <c r="P24" s="34">
        <v>6.4</v>
      </c>
      <c r="Q24" s="35">
        <v>24.1</v>
      </c>
      <c r="R24" s="36">
        <v>168</v>
      </c>
    </row>
    <row r="25" spans="1:18" s="28" customFormat="1" ht="33.75" customHeight="1" x14ac:dyDescent="0.25">
      <c r="A25" s="29"/>
      <c r="B25" s="37" t="s">
        <v>1</v>
      </c>
      <c r="C25" s="38">
        <f t="shared" si="4"/>
        <v>31</v>
      </c>
      <c r="D25" s="32" t="s">
        <v>94</v>
      </c>
      <c r="E25" s="33" t="s">
        <v>8</v>
      </c>
      <c r="F25" s="34">
        <v>0</v>
      </c>
      <c r="G25" s="34">
        <v>0</v>
      </c>
      <c r="H25" s="35">
        <v>10</v>
      </c>
      <c r="I25" s="36">
        <v>40</v>
      </c>
      <c r="J25" s="29"/>
      <c r="K25" s="37" t="s">
        <v>1</v>
      </c>
      <c r="L25" s="38">
        <f t="shared" si="5"/>
        <v>87</v>
      </c>
      <c r="M25" s="32" t="s">
        <v>94</v>
      </c>
      <c r="N25" s="33" t="s">
        <v>8</v>
      </c>
      <c r="O25" s="34">
        <v>0</v>
      </c>
      <c r="P25" s="34">
        <v>0</v>
      </c>
      <c r="Q25" s="35">
        <v>10</v>
      </c>
      <c r="R25" s="36">
        <v>40</v>
      </c>
    </row>
    <row r="26" spans="1:18" s="59" customFormat="1" ht="33.75" customHeight="1" x14ac:dyDescent="0.25">
      <c r="A26" s="29"/>
      <c r="B26" s="37" t="s">
        <v>7</v>
      </c>
      <c r="C26" s="38">
        <f t="shared" si="4"/>
        <v>31</v>
      </c>
      <c r="D26" s="32" t="s">
        <v>6</v>
      </c>
      <c r="E26" s="33" t="s">
        <v>3</v>
      </c>
      <c r="F26" s="34">
        <v>2.5</v>
      </c>
      <c r="G26" s="34">
        <v>0.4</v>
      </c>
      <c r="H26" s="35">
        <v>10.8</v>
      </c>
      <c r="I26" s="36">
        <v>57</v>
      </c>
      <c r="J26" s="29"/>
      <c r="K26" s="37" t="s">
        <v>7</v>
      </c>
      <c r="L26" s="38">
        <f t="shared" si="5"/>
        <v>87</v>
      </c>
      <c r="M26" s="32" t="s">
        <v>6</v>
      </c>
      <c r="N26" s="33" t="s">
        <v>3</v>
      </c>
      <c r="O26" s="34">
        <v>2.5</v>
      </c>
      <c r="P26" s="34">
        <v>0.4</v>
      </c>
      <c r="Q26" s="35">
        <v>10.8</v>
      </c>
      <c r="R26" s="36">
        <v>57</v>
      </c>
    </row>
    <row r="27" spans="1:18" s="28" customFormat="1" ht="30" customHeight="1" x14ac:dyDescent="0.25">
      <c r="A27" s="29"/>
      <c r="B27" s="37" t="s">
        <v>5</v>
      </c>
      <c r="C27" s="38">
        <f t="shared" si="4"/>
        <v>31</v>
      </c>
      <c r="D27" s="32" t="s">
        <v>4</v>
      </c>
      <c r="E27" s="33" t="s">
        <v>3</v>
      </c>
      <c r="F27" s="34">
        <v>2.5</v>
      </c>
      <c r="G27" s="34">
        <v>0.8</v>
      </c>
      <c r="H27" s="35">
        <v>14.1</v>
      </c>
      <c r="I27" s="36">
        <v>74</v>
      </c>
      <c r="J27" s="29"/>
      <c r="K27" s="37" t="s">
        <v>5</v>
      </c>
      <c r="L27" s="38">
        <f t="shared" si="5"/>
        <v>87</v>
      </c>
      <c r="M27" s="32" t="s">
        <v>4</v>
      </c>
      <c r="N27" s="33" t="s">
        <v>3</v>
      </c>
      <c r="O27" s="34">
        <v>2.5</v>
      </c>
      <c r="P27" s="34">
        <v>0.8</v>
      </c>
      <c r="Q27" s="35">
        <v>14.1</v>
      </c>
      <c r="R27" s="36">
        <v>74</v>
      </c>
    </row>
    <row r="28" spans="1:18" s="28" customFormat="1" ht="30" customHeight="1" thickBot="1" x14ac:dyDescent="0.3">
      <c r="A28" s="41"/>
      <c r="B28" s="42"/>
      <c r="C28" s="43"/>
      <c r="D28" s="44"/>
      <c r="E28" s="45"/>
      <c r="F28" s="60"/>
      <c r="G28" s="60"/>
      <c r="H28" s="60"/>
      <c r="I28" s="67"/>
      <c r="J28" s="41"/>
      <c r="K28" s="42"/>
      <c r="L28" s="43"/>
      <c r="M28" s="44"/>
      <c r="N28" s="45"/>
      <c r="O28" s="46"/>
      <c r="P28" s="46"/>
      <c r="Q28" s="46"/>
      <c r="R28" s="47"/>
    </row>
    <row r="29" spans="1:18" s="28" customFormat="1" ht="30" customHeight="1" thickBot="1" x14ac:dyDescent="0.3">
      <c r="A29" s="310" t="s">
        <v>0</v>
      </c>
      <c r="B29" s="311"/>
      <c r="C29" s="312"/>
      <c r="D29" s="61"/>
      <c r="E29" s="62"/>
      <c r="F29" s="63">
        <f>SUM(F21:F28)</f>
        <v>39.666666666666671</v>
      </c>
      <c r="G29" s="63">
        <f>SUM(G21:G28)</f>
        <v>40.033333333333324</v>
      </c>
      <c r="H29" s="63">
        <f>SUM(H21:H28)</f>
        <v>80.73333333333332</v>
      </c>
      <c r="I29" s="64">
        <f>SUM(I21:I28)</f>
        <v>843.33333333333326</v>
      </c>
      <c r="J29" s="310" t="s">
        <v>0</v>
      </c>
      <c r="K29" s="311"/>
      <c r="L29" s="312"/>
      <c r="M29" s="61"/>
      <c r="N29" s="62"/>
      <c r="O29" s="63">
        <f>SUM(O21:O28)</f>
        <v>40.366666666666667</v>
      </c>
      <c r="P29" s="63">
        <f>SUM(P21:P28)</f>
        <v>41.133333333333326</v>
      </c>
      <c r="Q29" s="63">
        <f>SUM(Q21:Q28)</f>
        <v>84.833333333333329</v>
      </c>
      <c r="R29" s="64">
        <f>SUM(R21:R28)</f>
        <v>871.33333333333326</v>
      </c>
    </row>
    <row r="30" spans="1:18" s="28" customFormat="1" ht="30" customHeight="1" x14ac:dyDescent="0.4">
      <c r="A30" s="20" t="s">
        <v>2</v>
      </c>
      <c r="B30" s="31" t="s">
        <v>1</v>
      </c>
      <c r="C30" s="65">
        <v>30</v>
      </c>
      <c r="D30" s="32" t="s">
        <v>162</v>
      </c>
      <c r="E30" s="33" t="s">
        <v>8</v>
      </c>
      <c r="F30" s="25">
        <v>0.6</v>
      </c>
      <c r="G30" s="25"/>
      <c r="H30" s="26">
        <v>33</v>
      </c>
      <c r="I30" s="27">
        <v>136</v>
      </c>
      <c r="J30" s="20" t="s">
        <v>2</v>
      </c>
      <c r="K30" s="31" t="s">
        <v>1</v>
      </c>
      <c r="L30" s="65">
        <v>9</v>
      </c>
      <c r="M30" s="32" t="s">
        <v>162</v>
      </c>
      <c r="N30" s="33" t="s">
        <v>8</v>
      </c>
      <c r="O30" s="25">
        <v>0.6</v>
      </c>
      <c r="P30" s="25"/>
      <c r="Q30" s="26">
        <v>33</v>
      </c>
      <c r="R30" s="27">
        <v>136</v>
      </c>
    </row>
    <row r="31" spans="1:18" s="58" customFormat="1" ht="30" customHeight="1" x14ac:dyDescent="0.4">
      <c r="A31" s="56"/>
      <c r="B31" s="30" t="s">
        <v>69</v>
      </c>
      <c r="C31" s="38">
        <f t="shared" ref="C31" si="6">C30</f>
        <v>30</v>
      </c>
      <c r="D31" s="32" t="s">
        <v>121</v>
      </c>
      <c r="E31" s="33" t="s">
        <v>33</v>
      </c>
      <c r="F31" s="35">
        <v>2.9</v>
      </c>
      <c r="G31" s="35">
        <v>11.9</v>
      </c>
      <c r="H31" s="35">
        <v>35.5</v>
      </c>
      <c r="I31" s="40">
        <v>272.7</v>
      </c>
      <c r="J31" s="56"/>
      <c r="K31" s="30" t="s">
        <v>69</v>
      </c>
      <c r="L31" s="31">
        <f>L30</f>
        <v>9</v>
      </c>
      <c r="M31" s="32" t="s">
        <v>121</v>
      </c>
      <c r="N31" s="33" t="s">
        <v>34</v>
      </c>
      <c r="O31" s="35">
        <f>2.9/7*9</f>
        <v>3.7285714285714282</v>
      </c>
      <c r="P31" s="35">
        <f>11.9/7*9</f>
        <v>15.299999999999999</v>
      </c>
      <c r="Q31" s="35">
        <f>35.5/7*9</f>
        <v>45.642857142857139</v>
      </c>
      <c r="R31" s="40">
        <f>272.7/7*9</f>
        <v>350.6142857142857</v>
      </c>
    </row>
    <row r="32" spans="1:18" s="28" customFormat="1" ht="30" customHeight="1" thickBot="1" x14ac:dyDescent="0.45">
      <c r="A32" s="41"/>
      <c r="B32" s="43"/>
      <c r="C32" s="66"/>
      <c r="D32" s="44"/>
      <c r="E32" s="45"/>
      <c r="F32" s="46"/>
      <c r="G32" s="60"/>
      <c r="H32" s="60"/>
      <c r="I32" s="67"/>
      <c r="J32" s="41"/>
      <c r="K32" s="68"/>
      <c r="L32" s="31"/>
      <c r="M32" s="44"/>
      <c r="N32" s="45"/>
      <c r="O32" s="60"/>
      <c r="P32" s="60"/>
      <c r="Q32" s="60"/>
      <c r="R32" s="67"/>
    </row>
    <row r="33" spans="1:18" s="28" customFormat="1" ht="30" customHeight="1" thickBot="1" x14ac:dyDescent="0.3">
      <c r="A33" s="310" t="s">
        <v>0</v>
      </c>
      <c r="B33" s="311"/>
      <c r="C33" s="312"/>
      <c r="D33" s="61"/>
      <c r="E33" s="62"/>
      <c r="F33" s="63">
        <f>SUM(F30:F32)</f>
        <v>3.5</v>
      </c>
      <c r="G33" s="63">
        <f>SUM(G30:G32)</f>
        <v>11.9</v>
      </c>
      <c r="H33" s="63">
        <f>SUM(H30:H32)</f>
        <v>68.5</v>
      </c>
      <c r="I33" s="64">
        <f>SUM(I30:I32)</f>
        <v>408.7</v>
      </c>
      <c r="J33" s="313" t="s">
        <v>0</v>
      </c>
      <c r="K33" s="314"/>
      <c r="L33" s="315"/>
      <c r="M33" s="61"/>
      <c r="N33" s="62"/>
      <c r="O33" s="63">
        <f>SUM(O30:O32)</f>
        <v>4.3285714285714283</v>
      </c>
      <c r="P33" s="63">
        <f>SUM(P30:P32)</f>
        <v>15.299999999999999</v>
      </c>
      <c r="Q33" s="63">
        <f>SUM(Q30:Q32)</f>
        <v>78.642857142857139</v>
      </c>
      <c r="R33" s="64">
        <f>SUM(R30:R32)</f>
        <v>486.6142857142857</v>
      </c>
    </row>
    <row r="34" spans="1:18" s="149" customFormat="1" ht="24.95" customHeight="1" x14ac:dyDescent="0.25">
      <c r="A34" s="148"/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</row>
    <row r="35" spans="1:18" s="155" customFormat="1" ht="24.95" customHeight="1" x14ac:dyDescent="0.5">
      <c r="A35" s="150"/>
      <c r="B35" s="88"/>
      <c r="C35" s="88"/>
      <c r="D35" s="151" t="s">
        <v>71</v>
      </c>
      <c r="E35" s="152"/>
      <c r="F35" s="153" t="s">
        <v>72</v>
      </c>
      <c r="G35" s="153"/>
      <c r="H35" s="154"/>
      <c r="I35" s="150"/>
      <c r="J35" s="150"/>
      <c r="K35" s="88"/>
      <c r="L35" s="88"/>
      <c r="M35" s="151" t="s">
        <v>71</v>
      </c>
      <c r="N35" s="152"/>
      <c r="O35" s="153" t="s">
        <v>72</v>
      </c>
      <c r="P35" s="153"/>
      <c r="Q35" s="84"/>
      <c r="R35" s="150"/>
    </row>
    <row r="36" spans="1:18" s="157" customFormat="1" ht="24.95" customHeight="1" x14ac:dyDescent="0.5">
      <c r="A36" s="150"/>
      <c r="B36" s="88"/>
      <c r="C36" s="88"/>
      <c r="D36" s="151"/>
      <c r="E36" s="152"/>
      <c r="F36" s="153"/>
      <c r="G36" s="153"/>
      <c r="H36" s="156"/>
      <c r="I36" s="88"/>
      <c r="J36" s="150"/>
      <c r="K36" s="88"/>
      <c r="L36" s="88"/>
      <c r="M36" s="151"/>
      <c r="N36" s="152"/>
      <c r="O36" s="153"/>
      <c r="P36" s="153"/>
      <c r="Q36" s="156"/>
      <c r="R36" s="88"/>
    </row>
    <row r="37" spans="1:18" s="88" customFormat="1" ht="24.95" customHeight="1" x14ac:dyDescent="0.5">
      <c r="A37" s="150"/>
      <c r="D37" s="151" t="s">
        <v>73</v>
      </c>
      <c r="E37" s="152"/>
      <c r="F37" s="158" t="s">
        <v>74</v>
      </c>
      <c r="G37" s="158"/>
      <c r="J37" s="150"/>
      <c r="M37" s="151" t="s">
        <v>73</v>
      </c>
      <c r="N37" s="152"/>
      <c r="O37" s="158" t="s">
        <v>74</v>
      </c>
      <c r="P37" s="158"/>
    </row>
  </sheetData>
  <mergeCells count="18">
    <mergeCell ref="F3:I3"/>
    <mergeCell ref="O3:R3"/>
    <mergeCell ref="F1:I2"/>
    <mergeCell ref="O1:R2"/>
    <mergeCell ref="B11:E11"/>
    <mergeCell ref="K11:N11"/>
    <mergeCell ref="C7:I7"/>
    <mergeCell ref="L7:R7"/>
    <mergeCell ref="J6:K6"/>
    <mergeCell ref="L6:R6"/>
    <mergeCell ref="A6:B6"/>
    <mergeCell ref="C6:I6"/>
    <mergeCell ref="A33:C33"/>
    <mergeCell ref="J33:L33"/>
    <mergeCell ref="A29:C29"/>
    <mergeCell ref="J29:L29"/>
    <mergeCell ref="A20:C20"/>
    <mergeCell ref="J20:L20"/>
  </mergeCells>
  <pageMargins left="0.7" right="0.7" top="0.75" bottom="0.75" header="0.3" footer="0.3"/>
  <pageSetup paperSize="9" scale="39" orientation="landscape" r:id="rId1"/>
  <colBreaks count="1" manualBreakCount="1">
    <brk id="9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18</vt:i4>
      </vt:variant>
    </vt:vector>
  </HeadingPairs>
  <TitlesOfParts>
    <vt:vector size="36" baseType="lpstr">
      <vt:lpstr>01.04</vt:lpstr>
      <vt:lpstr>Книжное меню 01.04</vt:lpstr>
      <vt:lpstr>04,04</vt:lpstr>
      <vt:lpstr>Книжное меню 04.04</vt:lpstr>
      <vt:lpstr>05,04 Эвакуация</vt:lpstr>
      <vt:lpstr>Книжное меню 05.04 </vt:lpstr>
      <vt:lpstr>06,04</vt:lpstr>
      <vt:lpstr>Книжное меню 06.04</vt:lpstr>
      <vt:lpstr>07,04 </vt:lpstr>
      <vt:lpstr>Книжное меню 07.04</vt:lpstr>
      <vt:lpstr>08.04</vt:lpstr>
      <vt:lpstr>Книжное меню 08.04</vt:lpstr>
      <vt:lpstr>11,04</vt:lpstr>
      <vt:lpstr>Книжное меню 11.04</vt:lpstr>
      <vt:lpstr>12,04</vt:lpstr>
      <vt:lpstr>Книжное меню 12.04</vt:lpstr>
      <vt:lpstr>13,04</vt:lpstr>
      <vt:lpstr>Книжное меню 13.04</vt:lpstr>
      <vt:lpstr>'01.04'!Область_печати</vt:lpstr>
      <vt:lpstr>'04,04'!Область_печати</vt:lpstr>
      <vt:lpstr>'05,04 Эвакуация'!Область_печати</vt:lpstr>
      <vt:lpstr>'06,04'!Область_печати</vt:lpstr>
      <vt:lpstr>'07,04 '!Область_печати</vt:lpstr>
      <vt:lpstr>'08.04'!Область_печати</vt:lpstr>
      <vt:lpstr>'11,04'!Область_печати</vt:lpstr>
      <vt:lpstr>'12,04'!Область_печати</vt:lpstr>
      <vt:lpstr>'13,04'!Область_печати</vt:lpstr>
      <vt:lpstr>'Книжное меню 01.04'!Область_печати</vt:lpstr>
      <vt:lpstr>'Книжное меню 04.04'!Область_печати</vt:lpstr>
      <vt:lpstr>'Книжное меню 05.04 '!Область_печати</vt:lpstr>
      <vt:lpstr>'Книжное меню 06.04'!Область_печати</vt:lpstr>
      <vt:lpstr>'Книжное меню 07.04'!Область_печати</vt:lpstr>
      <vt:lpstr>'Книжное меню 08.04'!Область_печати</vt:lpstr>
      <vt:lpstr>'Книжное меню 11.04'!Область_печати</vt:lpstr>
      <vt:lpstr>'Книжное меню 12.04'!Область_печати</vt:lpstr>
      <vt:lpstr>'Книжное меню 13.04'!Область_печати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2022-04-13T07:28:09Z</dcterms:modified>
</cp:coreProperties>
</file>