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activeTab="2"/>
  </bookViews>
  <sheets>
    <sheet name="15.10" sheetId="23" r:id="rId1"/>
    <sheet name="food1" sheetId="22" r:id="rId2"/>
    <sheet name="food2" sheetId="21" r:id="rId3"/>
  </sheets>
  <definedNames>
    <definedName name="_xlnm.Print_Area" localSheetId="0">'15.10'!$A$1:$AN$58</definedName>
  </definedNames>
  <calcPr calcId="152511"/>
</workbook>
</file>

<file path=xl/calcChain.xml><?xml version="1.0" encoding="utf-8"?>
<calcChain xmlns="http://schemas.openxmlformats.org/spreadsheetml/2006/main">
  <c r="I21" i="21" l="1"/>
  <c r="G21" i="21"/>
  <c r="E21" i="21"/>
  <c r="I18" i="21"/>
  <c r="H18" i="21"/>
  <c r="H21" i="21" s="1"/>
  <c r="G18" i="21"/>
  <c r="F18" i="21"/>
  <c r="F21" i="21" s="1"/>
  <c r="I15" i="21"/>
  <c r="H15" i="21"/>
  <c r="G15" i="21"/>
  <c r="F15" i="21"/>
  <c r="I14" i="21"/>
  <c r="H14" i="21"/>
  <c r="G14" i="21"/>
  <c r="F14" i="21"/>
  <c r="I12" i="21"/>
  <c r="H12" i="21"/>
  <c r="G12" i="21"/>
  <c r="F12" i="21"/>
  <c r="E12" i="21"/>
  <c r="E17" i="21" s="1"/>
  <c r="I10" i="21"/>
  <c r="I17" i="21" s="1"/>
  <c r="H10" i="21"/>
  <c r="H17" i="21" s="1"/>
  <c r="G10" i="21"/>
  <c r="G17" i="21" s="1"/>
  <c r="F10" i="21"/>
  <c r="F17" i="21" s="1"/>
  <c r="H9" i="21"/>
  <c r="F9" i="21"/>
  <c r="I6" i="21"/>
  <c r="H6" i="21"/>
  <c r="G6" i="21"/>
  <c r="F6" i="21"/>
  <c r="I4" i="21"/>
  <c r="I9" i="21" s="1"/>
  <c r="H4" i="21"/>
  <c r="G4" i="21"/>
  <c r="G9" i="21" s="1"/>
  <c r="F4" i="21"/>
  <c r="E4" i="21"/>
  <c r="E9" i="21" s="1"/>
  <c r="H21" i="22"/>
  <c r="F21" i="22"/>
  <c r="E21" i="22"/>
  <c r="I18" i="22"/>
  <c r="I21" i="22" s="1"/>
  <c r="H18" i="22"/>
  <c r="G18" i="22"/>
  <c r="G21" i="22" s="1"/>
  <c r="F18" i="22"/>
  <c r="E17" i="22"/>
  <c r="I15" i="22"/>
  <c r="H15" i="22"/>
  <c r="G15" i="22"/>
  <c r="F15" i="22"/>
  <c r="I14" i="22"/>
  <c r="H14" i="22"/>
  <c r="G14" i="22"/>
  <c r="F14" i="22"/>
  <c r="I12" i="22"/>
  <c r="H12" i="22"/>
  <c r="G12" i="22"/>
  <c r="F12" i="22"/>
  <c r="E12" i="22"/>
  <c r="I10" i="22"/>
  <c r="I17" i="22" s="1"/>
  <c r="H10" i="22"/>
  <c r="H17" i="22" s="1"/>
  <c r="G10" i="22"/>
  <c r="G17" i="22" s="1"/>
  <c r="F10" i="22"/>
  <c r="F17" i="22" s="1"/>
  <c r="I9" i="22"/>
  <c r="G9" i="22"/>
  <c r="E9" i="22"/>
  <c r="I6" i="22"/>
  <c r="H6" i="22"/>
  <c r="G6" i="22"/>
  <c r="F6" i="22"/>
  <c r="I4" i="22"/>
  <c r="H4" i="22"/>
  <c r="H9" i="22" s="1"/>
  <c r="G4" i="22"/>
  <c r="F4" i="22"/>
  <c r="F9" i="22" s="1"/>
  <c r="E4" i="22"/>
  <c r="T111" i="23"/>
  <c r="S109" i="23"/>
  <c r="O109" i="23"/>
  <c r="N109" i="23"/>
  <c r="M109" i="23"/>
  <c r="S108" i="23"/>
  <c r="Q108" i="23"/>
  <c r="N108" i="23"/>
  <c r="M108" i="23"/>
  <c r="K108" i="23"/>
  <c r="K109" i="23" s="1"/>
  <c r="I108" i="23"/>
  <c r="G108" i="23"/>
  <c r="D108" i="23"/>
  <c r="C108" i="23"/>
  <c r="A108" i="23"/>
  <c r="S107" i="23"/>
  <c r="O107" i="23"/>
  <c r="N107" i="23"/>
  <c r="M107" i="23"/>
  <c r="L107" i="23"/>
  <c r="R107" i="23" s="1"/>
  <c r="I107" i="23"/>
  <c r="E107" i="23"/>
  <c r="D107" i="23"/>
  <c r="C107" i="23"/>
  <c r="B107" i="23"/>
  <c r="H107" i="23" s="1"/>
  <c r="L106" i="23"/>
  <c r="B106" i="23"/>
  <c r="Q105" i="23"/>
  <c r="S103" i="23"/>
  <c r="O103" i="23"/>
  <c r="N103" i="23"/>
  <c r="M103" i="23"/>
  <c r="I103" i="23"/>
  <c r="E103" i="23"/>
  <c r="D103" i="23"/>
  <c r="C103" i="23"/>
  <c r="S102" i="23"/>
  <c r="O102" i="23"/>
  <c r="N102" i="23"/>
  <c r="M102" i="23"/>
  <c r="I102" i="23"/>
  <c r="E102" i="23"/>
  <c r="D102" i="23"/>
  <c r="C102" i="23"/>
  <c r="S101" i="23"/>
  <c r="O101" i="23"/>
  <c r="N101" i="23"/>
  <c r="M101" i="23"/>
  <c r="I101" i="23"/>
  <c r="E101" i="23"/>
  <c r="D101" i="23"/>
  <c r="C101" i="23"/>
  <c r="S100" i="23"/>
  <c r="Q100" i="23"/>
  <c r="O100" i="23"/>
  <c r="N100" i="23"/>
  <c r="M100" i="23"/>
  <c r="I100" i="23"/>
  <c r="G100" i="23"/>
  <c r="E100" i="23"/>
  <c r="D100" i="23"/>
  <c r="C100" i="23"/>
  <c r="O99" i="23"/>
  <c r="N99" i="23"/>
  <c r="M99" i="23"/>
  <c r="E99" i="23"/>
  <c r="D99" i="23"/>
  <c r="C99" i="23"/>
  <c r="S98" i="23"/>
  <c r="O98" i="23"/>
  <c r="N98" i="23"/>
  <c r="M98" i="23"/>
  <c r="K98" i="23"/>
  <c r="K99" i="23" s="1"/>
  <c r="K100" i="23" s="1"/>
  <c r="K101" i="23" s="1"/>
  <c r="K102" i="23" s="1"/>
  <c r="K103" i="23" s="1"/>
  <c r="I98" i="23"/>
  <c r="E98" i="23"/>
  <c r="D98" i="23"/>
  <c r="C98" i="23"/>
  <c r="A98" i="23"/>
  <c r="A99" i="23" s="1"/>
  <c r="A100" i="23" s="1"/>
  <c r="A101" i="23" s="1"/>
  <c r="A102" i="23" s="1"/>
  <c r="A103" i="23" s="1"/>
  <c r="S97" i="23"/>
  <c r="T97" i="23" s="1"/>
  <c r="O97" i="23"/>
  <c r="N97" i="23"/>
  <c r="M97" i="23"/>
  <c r="L97" i="23"/>
  <c r="R97" i="23" s="1"/>
  <c r="I97" i="23"/>
  <c r="J97" i="23" s="1"/>
  <c r="E97" i="23"/>
  <c r="D97" i="23"/>
  <c r="C97" i="23"/>
  <c r="B97" i="23"/>
  <c r="L96" i="23"/>
  <c r="B96" i="23"/>
  <c r="Q93" i="23"/>
  <c r="O93" i="23"/>
  <c r="N93" i="23"/>
  <c r="M93" i="23"/>
  <c r="I93" i="23"/>
  <c r="E93" i="23"/>
  <c r="D93" i="23"/>
  <c r="C93" i="23"/>
  <c r="S92" i="23"/>
  <c r="Q92" i="23"/>
  <c r="O92" i="23"/>
  <c r="N92" i="23"/>
  <c r="M92" i="23"/>
  <c r="I92" i="23"/>
  <c r="E92" i="23"/>
  <c r="D92" i="23"/>
  <c r="C92" i="23"/>
  <c r="S91" i="23"/>
  <c r="O91" i="23"/>
  <c r="N91" i="23"/>
  <c r="M91" i="23"/>
  <c r="I91" i="23"/>
  <c r="E91" i="23"/>
  <c r="D91" i="23"/>
  <c r="C91" i="23"/>
  <c r="S90" i="23"/>
  <c r="O90" i="23"/>
  <c r="N90" i="23"/>
  <c r="M90" i="23"/>
  <c r="K90" i="23"/>
  <c r="K91" i="23" s="1"/>
  <c r="K92" i="23" s="1"/>
  <c r="K93" i="23" s="1"/>
  <c r="I90" i="23"/>
  <c r="G90" i="23"/>
  <c r="D90" i="23"/>
  <c r="C90" i="23"/>
  <c r="A90" i="23"/>
  <c r="A91" i="23" s="1"/>
  <c r="A92" i="23" s="1"/>
  <c r="A93" i="23" s="1"/>
  <c r="S89" i="23"/>
  <c r="O89" i="23"/>
  <c r="N89" i="23"/>
  <c r="M89" i="23"/>
  <c r="L89" i="23"/>
  <c r="I89" i="23"/>
  <c r="J89" i="23" s="1"/>
  <c r="G89" i="23"/>
  <c r="H89" i="23" s="1"/>
  <c r="D89" i="23"/>
  <c r="C89" i="23"/>
  <c r="B89" i="23"/>
  <c r="B90" i="23" s="1"/>
  <c r="B91" i="23" s="1"/>
  <c r="L88" i="23"/>
  <c r="B88" i="23"/>
  <c r="I84" i="23"/>
  <c r="AJ80" i="23"/>
  <c r="AC80" i="23"/>
  <c r="AA80" i="23"/>
  <c r="Z80" i="23"/>
  <c r="P80" i="23"/>
  <c r="S111" i="23" s="1"/>
  <c r="I80" i="23"/>
  <c r="G80" i="23"/>
  <c r="F80" i="23"/>
  <c r="I111" i="23" s="1"/>
  <c r="J111" i="23" s="1"/>
  <c r="AG79" i="23"/>
  <c r="AN78" i="23"/>
  <c r="AM78" i="23"/>
  <c r="AL78" i="23"/>
  <c r="AG78" i="23"/>
  <c r="AD78" i="23"/>
  <c r="AC78" i="23"/>
  <c r="AB78" i="23"/>
  <c r="W78" i="23"/>
  <c r="T78" i="23"/>
  <c r="S78" i="23"/>
  <c r="R78" i="23"/>
  <c r="M78" i="23"/>
  <c r="L108" i="23" s="1"/>
  <c r="J78" i="23"/>
  <c r="I78" i="23"/>
  <c r="H78" i="23"/>
  <c r="C78" i="23"/>
  <c r="B108" i="23" s="1"/>
  <c r="AN77" i="23"/>
  <c r="AN80" i="23" s="1"/>
  <c r="AM77" i="23"/>
  <c r="AM80" i="23" s="1"/>
  <c r="AL77" i="23"/>
  <c r="AL80" i="23" s="1"/>
  <c r="AK77" i="23"/>
  <c r="AK80" i="23" s="1"/>
  <c r="AD77" i="23"/>
  <c r="AD80" i="23" s="1"/>
  <c r="AC77" i="23"/>
  <c r="AB77" i="23"/>
  <c r="AB80" i="23" s="1"/>
  <c r="AA77" i="23"/>
  <c r="T77" i="23"/>
  <c r="T80" i="23" s="1"/>
  <c r="S77" i="23"/>
  <c r="S80" i="23" s="1"/>
  <c r="R77" i="23"/>
  <c r="R80" i="23" s="1"/>
  <c r="Q77" i="23"/>
  <c r="Q80" i="23" s="1"/>
  <c r="J77" i="23"/>
  <c r="J80" i="23" s="1"/>
  <c r="I77" i="23"/>
  <c r="H77" i="23"/>
  <c r="H80" i="23" s="1"/>
  <c r="G77" i="23"/>
  <c r="I76" i="23"/>
  <c r="AN75" i="23"/>
  <c r="AM75" i="23"/>
  <c r="AL75" i="23"/>
  <c r="AK75" i="23"/>
  <c r="AD75" i="23"/>
  <c r="AC75" i="23"/>
  <c r="AB75" i="23"/>
  <c r="AA75" i="23"/>
  <c r="T75" i="23"/>
  <c r="S75" i="23"/>
  <c r="R75" i="23"/>
  <c r="Q75" i="23"/>
  <c r="J75" i="23"/>
  <c r="I75" i="23"/>
  <c r="H75" i="23"/>
  <c r="G75" i="23"/>
  <c r="AN74" i="23"/>
  <c r="AM74" i="23"/>
  <c r="AL74" i="23"/>
  <c r="AK74" i="23"/>
  <c r="AD74" i="23"/>
  <c r="AC74" i="23"/>
  <c r="AC76" i="23" s="1"/>
  <c r="AB74" i="23"/>
  <c r="AA74" i="23"/>
  <c r="AA76" i="23" s="1"/>
  <c r="T74" i="23"/>
  <c r="S74" i="23"/>
  <c r="R74" i="23"/>
  <c r="Q74" i="23"/>
  <c r="J74" i="23"/>
  <c r="I74" i="23"/>
  <c r="H74" i="23"/>
  <c r="G74" i="23"/>
  <c r="AN72" i="23"/>
  <c r="AM72" i="23"/>
  <c r="AL72" i="23"/>
  <c r="AK72" i="23"/>
  <c r="AJ72" i="23"/>
  <c r="AD72" i="23"/>
  <c r="AC72" i="23"/>
  <c r="AB72" i="23"/>
  <c r="AA72" i="23"/>
  <c r="T72" i="23"/>
  <c r="S72" i="23"/>
  <c r="R72" i="23"/>
  <c r="Q72" i="23"/>
  <c r="P72" i="23"/>
  <c r="J72" i="23"/>
  <c r="I72" i="23"/>
  <c r="H72" i="23"/>
  <c r="G72" i="23"/>
  <c r="G76" i="23" s="1"/>
  <c r="AN71" i="23"/>
  <c r="AM71" i="23"/>
  <c r="AL71" i="23"/>
  <c r="AK71" i="23"/>
  <c r="AJ71" i="23"/>
  <c r="AJ76" i="23" s="1"/>
  <c r="AD71" i="23"/>
  <c r="AC71" i="23"/>
  <c r="AB71" i="23"/>
  <c r="AA71" i="23"/>
  <c r="Z71" i="23"/>
  <c r="Z76" i="23" s="1"/>
  <c r="T71" i="23"/>
  <c r="S71" i="23"/>
  <c r="R71" i="23"/>
  <c r="Q71" i="23"/>
  <c r="P71" i="23"/>
  <c r="P76" i="23" s="1"/>
  <c r="S105" i="23" s="1"/>
  <c r="J71" i="23"/>
  <c r="I71" i="23"/>
  <c r="H71" i="23"/>
  <c r="G71" i="23"/>
  <c r="F71" i="23"/>
  <c r="AG70" i="23"/>
  <c r="AG71" i="23" s="1"/>
  <c r="AG72" i="23" s="1"/>
  <c r="AG73" i="23" s="1"/>
  <c r="AG74" i="23" s="1"/>
  <c r="AG75" i="23" s="1"/>
  <c r="W70" i="23"/>
  <c r="W71" i="23" s="1"/>
  <c r="W72" i="23" s="1"/>
  <c r="W73" i="23" s="1"/>
  <c r="W74" i="23" s="1"/>
  <c r="W75" i="23" s="1"/>
  <c r="M70" i="23"/>
  <c r="M71" i="23" s="1"/>
  <c r="M72" i="23" s="1"/>
  <c r="M73" i="23" s="1"/>
  <c r="M74" i="23" s="1"/>
  <c r="M75" i="23" s="1"/>
  <c r="C70" i="23"/>
  <c r="C71" i="23" s="1"/>
  <c r="C72" i="23" s="1"/>
  <c r="C73" i="23" s="1"/>
  <c r="C74" i="23" s="1"/>
  <c r="C75" i="23" s="1"/>
  <c r="AN69" i="23"/>
  <c r="AN76" i="23" s="1"/>
  <c r="AM69" i="23"/>
  <c r="AM76" i="23" s="1"/>
  <c r="AL69" i="23"/>
  <c r="AL76" i="23" s="1"/>
  <c r="AK69" i="23"/>
  <c r="AK76" i="23" s="1"/>
  <c r="AD69" i="23"/>
  <c r="AD76" i="23" s="1"/>
  <c r="AC69" i="23"/>
  <c r="AB69" i="23"/>
  <c r="AB76" i="23" s="1"/>
  <c r="AA69" i="23"/>
  <c r="T69" i="23"/>
  <c r="T76" i="23" s="1"/>
  <c r="S69" i="23"/>
  <c r="S76" i="23" s="1"/>
  <c r="R69" i="23"/>
  <c r="R76" i="23" s="1"/>
  <c r="Q69" i="23"/>
  <c r="Q76" i="23" s="1"/>
  <c r="J69" i="23"/>
  <c r="J76" i="23" s="1"/>
  <c r="I69" i="23"/>
  <c r="H69" i="23"/>
  <c r="H76" i="23" s="1"/>
  <c r="G69" i="23"/>
  <c r="AJ68" i="23"/>
  <c r="Z68" i="23"/>
  <c r="F68" i="23"/>
  <c r="I95" i="23" s="1"/>
  <c r="AN67" i="23"/>
  <c r="AM67" i="23"/>
  <c r="AK67" i="23"/>
  <c r="AJ67" i="23"/>
  <c r="AD67" i="23"/>
  <c r="AC67" i="23"/>
  <c r="AA67" i="23"/>
  <c r="W67" i="23"/>
  <c r="T67" i="23"/>
  <c r="S67" i="23"/>
  <c r="Q67" i="23"/>
  <c r="P67" i="23"/>
  <c r="S93" i="23" s="1"/>
  <c r="J67" i="23"/>
  <c r="I67" i="23"/>
  <c r="G67" i="23"/>
  <c r="AN66" i="23"/>
  <c r="AM66" i="23"/>
  <c r="AL66" i="23"/>
  <c r="AK66" i="23"/>
  <c r="AD66" i="23"/>
  <c r="AC66" i="23"/>
  <c r="AB66" i="23"/>
  <c r="AA66" i="23"/>
  <c r="T66" i="23"/>
  <c r="S66" i="23"/>
  <c r="R66" i="23"/>
  <c r="Q66" i="23"/>
  <c r="J66" i="23"/>
  <c r="I66" i="23"/>
  <c r="H66" i="23"/>
  <c r="G66" i="23"/>
  <c r="AN64" i="23"/>
  <c r="AM64" i="23"/>
  <c r="AL64" i="23"/>
  <c r="AK64" i="23"/>
  <c r="AG64" i="23"/>
  <c r="AG65" i="23" s="1"/>
  <c r="AG66" i="23" s="1"/>
  <c r="AG67" i="23" s="1"/>
  <c r="AD64" i="23"/>
  <c r="AC64" i="23"/>
  <c r="AC68" i="23" s="1"/>
  <c r="AB64" i="23"/>
  <c r="AA64" i="23"/>
  <c r="AA68" i="23" s="1"/>
  <c r="W64" i="23"/>
  <c r="W65" i="23" s="1"/>
  <c r="W66" i="23" s="1"/>
  <c r="T64" i="23"/>
  <c r="S64" i="23"/>
  <c r="R64" i="23"/>
  <c r="Q64" i="23"/>
  <c r="M64" i="23"/>
  <c r="M65" i="23" s="1"/>
  <c r="M66" i="23" s="1"/>
  <c r="M67" i="23" s="1"/>
  <c r="J64" i="23"/>
  <c r="I64" i="23"/>
  <c r="I68" i="23" s="1"/>
  <c r="H64" i="23"/>
  <c r="G64" i="23"/>
  <c r="G68" i="23" s="1"/>
  <c r="C64" i="23"/>
  <c r="C65" i="23" s="1"/>
  <c r="C66" i="23" s="1"/>
  <c r="C67" i="23" s="1"/>
  <c r="AN63" i="23"/>
  <c r="AN68" i="23" s="1"/>
  <c r="AM63" i="23"/>
  <c r="AM68" i="23" s="1"/>
  <c r="AL63" i="23"/>
  <c r="AL68" i="23" s="1"/>
  <c r="AK63" i="23"/>
  <c r="AD63" i="23"/>
  <c r="AD68" i="23" s="1"/>
  <c r="AC63" i="23"/>
  <c r="AB63" i="23"/>
  <c r="AB68" i="23" s="1"/>
  <c r="AA63" i="23"/>
  <c r="T63" i="23"/>
  <c r="T68" i="23" s="1"/>
  <c r="S63" i="23"/>
  <c r="R63" i="23"/>
  <c r="R68" i="23" s="1"/>
  <c r="Q63" i="23"/>
  <c r="Q68" i="23" s="1"/>
  <c r="J63" i="23"/>
  <c r="J68" i="23" s="1"/>
  <c r="I63" i="23"/>
  <c r="H63" i="23"/>
  <c r="H68" i="23" s="1"/>
  <c r="G63" i="23"/>
  <c r="AN60" i="23"/>
  <c r="T60" i="23"/>
  <c r="AD60" i="23" s="1"/>
  <c r="J60" i="23"/>
  <c r="AN52" i="23"/>
  <c r="AK52" i="23"/>
  <c r="Q52" i="23"/>
  <c r="AM50" i="23"/>
  <c r="AI50" i="23"/>
  <c r="AH50" i="23"/>
  <c r="AG50" i="23"/>
  <c r="AE50" i="23"/>
  <c r="AC50" i="23"/>
  <c r="Y50" i="23"/>
  <c r="X50" i="23"/>
  <c r="W50" i="23"/>
  <c r="V50" i="23"/>
  <c r="AB50" i="23" s="1"/>
  <c r="S50" i="23"/>
  <c r="O50" i="23"/>
  <c r="N50" i="23"/>
  <c r="M50" i="23"/>
  <c r="K50" i="23"/>
  <c r="I50" i="23"/>
  <c r="E50" i="23"/>
  <c r="D50" i="23"/>
  <c r="C50" i="23"/>
  <c r="AN49" i="23"/>
  <c r="AM49" i="23"/>
  <c r="AL49" i="23"/>
  <c r="AI49" i="23"/>
  <c r="AH49" i="23"/>
  <c r="AG49" i="23"/>
  <c r="AF49" i="23"/>
  <c r="AF50" i="23" s="1"/>
  <c r="AN50" i="23" s="1"/>
  <c r="AE49" i="23"/>
  <c r="AC49" i="23"/>
  <c r="AD49" i="23" s="1"/>
  <c r="AA49" i="23"/>
  <c r="Y49" i="23"/>
  <c r="X49" i="23"/>
  <c r="W49" i="23"/>
  <c r="V49" i="23"/>
  <c r="U49" i="23"/>
  <c r="U50" i="23" s="1"/>
  <c r="S49" i="23"/>
  <c r="O49" i="23"/>
  <c r="N49" i="23"/>
  <c r="M49" i="23"/>
  <c r="L49" i="23"/>
  <c r="K49" i="23"/>
  <c r="I49" i="23"/>
  <c r="G49" i="23"/>
  <c r="G52" i="23" s="1"/>
  <c r="E49" i="23"/>
  <c r="E52" i="23" s="1"/>
  <c r="D49" i="23"/>
  <c r="C49" i="23"/>
  <c r="B49" i="23"/>
  <c r="B50" i="23" s="1"/>
  <c r="A49" i="23"/>
  <c r="A50" i="23" s="1"/>
  <c r="AF48" i="23"/>
  <c r="V48" i="23"/>
  <c r="L48" i="23"/>
  <c r="B48" i="23"/>
  <c r="AM44" i="23"/>
  <c r="AI44" i="23"/>
  <c r="AH44" i="23"/>
  <c r="AG44" i="23"/>
  <c r="AC44" i="23"/>
  <c r="Y44" i="23"/>
  <c r="X44" i="23"/>
  <c r="W44" i="23"/>
  <c r="S44" i="23"/>
  <c r="O44" i="23"/>
  <c r="N44" i="23"/>
  <c r="M44" i="23"/>
  <c r="I44" i="23"/>
  <c r="E44" i="23"/>
  <c r="D44" i="23"/>
  <c r="C44" i="23"/>
  <c r="AM43" i="23"/>
  <c r="AI43" i="23"/>
  <c r="AH43" i="23"/>
  <c r="AG43" i="23"/>
  <c r="AC43" i="23"/>
  <c r="Y43" i="23"/>
  <c r="X43" i="23"/>
  <c r="W43" i="23"/>
  <c r="S43" i="23"/>
  <c r="O43" i="23"/>
  <c r="N43" i="23"/>
  <c r="M43" i="23"/>
  <c r="I43" i="23"/>
  <c r="E43" i="23"/>
  <c r="D43" i="23"/>
  <c r="C43" i="23"/>
  <c r="AM42" i="23"/>
  <c r="AI42" i="23"/>
  <c r="AH42" i="23"/>
  <c r="AG42" i="23"/>
  <c r="AC42" i="23"/>
  <c r="Y42" i="23"/>
  <c r="X42" i="23"/>
  <c r="W42" i="23"/>
  <c r="S42" i="23"/>
  <c r="O42" i="23"/>
  <c r="N42" i="23"/>
  <c r="M42" i="23"/>
  <c r="I42" i="23"/>
  <c r="E42" i="23"/>
  <c r="D42" i="23"/>
  <c r="C42" i="23"/>
  <c r="AK41" i="23"/>
  <c r="AK47" i="23" s="1"/>
  <c r="AI41" i="23"/>
  <c r="AH41" i="23"/>
  <c r="AG41" i="23"/>
  <c r="AA41" i="23"/>
  <c r="AA47" i="23" s="1"/>
  <c r="Y41" i="23"/>
  <c r="X41" i="23"/>
  <c r="W41" i="23"/>
  <c r="Q41" i="23"/>
  <c r="Q47" i="23" s="1"/>
  <c r="O41" i="23"/>
  <c r="N41" i="23"/>
  <c r="M41" i="23"/>
  <c r="G41" i="23"/>
  <c r="G47" i="23" s="1"/>
  <c r="E41" i="23"/>
  <c r="D41" i="23"/>
  <c r="C41" i="23"/>
  <c r="AN40" i="23"/>
  <c r="AM40" i="23"/>
  <c r="AL40" i="23"/>
  <c r="AI40" i="23"/>
  <c r="AH40" i="23"/>
  <c r="AG40" i="23"/>
  <c r="AE40" i="23"/>
  <c r="AE41" i="23" s="1"/>
  <c r="AE42" i="23" s="1"/>
  <c r="AE43" i="23" s="1"/>
  <c r="AE44" i="23" s="1"/>
  <c r="AC40" i="23"/>
  <c r="Y40" i="23"/>
  <c r="X40" i="23"/>
  <c r="W40" i="23"/>
  <c r="V40" i="23"/>
  <c r="U40" i="23"/>
  <c r="U41" i="23" s="1"/>
  <c r="U42" i="23" s="1"/>
  <c r="U43" i="23" s="1"/>
  <c r="U44" i="23" s="1"/>
  <c r="T40" i="23"/>
  <c r="O40" i="23"/>
  <c r="P40" i="23" s="1"/>
  <c r="N40" i="23"/>
  <c r="M40" i="23"/>
  <c r="K40" i="23"/>
  <c r="K41" i="23" s="1"/>
  <c r="K42" i="23" s="1"/>
  <c r="K43" i="23" s="1"/>
  <c r="K44" i="23" s="1"/>
  <c r="I40" i="23"/>
  <c r="J40" i="23" s="1"/>
  <c r="E40" i="23"/>
  <c r="D40" i="23"/>
  <c r="C40" i="23"/>
  <c r="B40" i="23"/>
  <c r="H40" i="23" s="1"/>
  <c r="A40" i="23"/>
  <c r="A41" i="23" s="1"/>
  <c r="A42" i="23" s="1"/>
  <c r="A43" i="23" s="1"/>
  <c r="A44" i="23" s="1"/>
  <c r="AN39" i="23"/>
  <c r="AM39" i="23"/>
  <c r="AL39" i="23"/>
  <c r="AI39" i="23"/>
  <c r="AH39" i="23"/>
  <c r="AG39" i="23"/>
  <c r="AF39" i="23"/>
  <c r="AF40" i="23" s="1"/>
  <c r="AF41" i="23" s="1"/>
  <c r="AD39" i="23"/>
  <c r="AC39" i="23"/>
  <c r="AB39" i="23"/>
  <c r="Y39" i="23"/>
  <c r="X39" i="23"/>
  <c r="W39" i="23"/>
  <c r="V39" i="23"/>
  <c r="T39" i="23"/>
  <c r="S39" i="23"/>
  <c r="R39" i="23"/>
  <c r="O39" i="23"/>
  <c r="N39" i="23"/>
  <c r="M39" i="23"/>
  <c r="L39" i="23"/>
  <c r="L40" i="23" s="1"/>
  <c r="L41" i="23" s="1"/>
  <c r="J39" i="23"/>
  <c r="I39" i="23"/>
  <c r="H39" i="23"/>
  <c r="E39" i="23"/>
  <c r="D39" i="23"/>
  <c r="C39" i="23"/>
  <c r="B39" i="23"/>
  <c r="AF38" i="23"/>
  <c r="V38" i="23"/>
  <c r="L38" i="23"/>
  <c r="B38" i="23"/>
  <c r="AM34" i="23"/>
  <c r="AI34" i="23"/>
  <c r="AH34" i="23"/>
  <c r="AG34" i="23"/>
  <c r="AC34" i="23"/>
  <c r="Y34" i="23"/>
  <c r="X34" i="23"/>
  <c r="W34" i="23"/>
  <c r="S34" i="23"/>
  <c r="O34" i="23"/>
  <c r="N34" i="23"/>
  <c r="M34" i="23"/>
  <c r="I34" i="23"/>
  <c r="E34" i="23"/>
  <c r="D34" i="23"/>
  <c r="C34" i="23"/>
  <c r="AM33" i="23"/>
  <c r="AI33" i="23"/>
  <c r="AH33" i="23"/>
  <c r="AG33" i="23"/>
  <c r="AC33" i="23"/>
  <c r="Y33" i="23"/>
  <c r="X33" i="23"/>
  <c r="W33" i="23"/>
  <c r="S33" i="23"/>
  <c r="O33" i="23"/>
  <c r="N33" i="23"/>
  <c r="M33" i="23"/>
  <c r="K33" i="23"/>
  <c r="K34" i="23" s="1"/>
  <c r="I33" i="23"/>
  <c r="E33" i="23"/>
  <c r="D33" i="23"/>
  <c r="C33" i="23"/>
  <c r="B33" i="23"/>
  <c r="H33" i="23" s="1"/>
  <c r="AM32" i="23"/>
  <c r="AI32" i="23"/>
  <c r="AH32" i="23"/>
  <c r="AG32" i="23"/>
  <c r="AE32" i="23"/>
  <c r="AE33" i="23" s="1"/>
  <c r="AE34" i="23" s="1"/>
  <c r="AC32" i="23"/>
  <c r="AD32" i="23" s="1"/>
  <c r="Y32" i="23"/>
  <c r="X32" i="23"/>
  <c r="W32" i="23"/>
  <c r="V32" i="23"/>
  <c r="AB32" i="23" s="1"/>
  <c r="U32" i="23"/>
  <c r="U33" i="23" s="1"/>
  <c r="U34" i="23" s="1"/>
  <c r="S32" i="23"/>
  <c r="O32" i="23"/>
  <c r="N32" i="23"/>
  <c r="M32" i="23"/>
  <c r="K32" i="23"/>
  <c r="I32" i="23"/>
  <c r="J32" i="23" s="1"/>
  <c r="E32" i="23"/>
  <c r="D32" i="23"/>
  <c r="C32" i="23"/>
  <c r="B32" i="23"/>
  <c r="H32" i="23" s="1"/>
  <c r="A32" i="23"/>
  <c r="A33" i="23" s="1"/>
  <c r="A34" i="23" s="1"/>
  <c r="AK31" i="23"/>
  <c r="AK37" i="23" s="1"/>
  <c r="AK53" i="23" s="1"/>
  <c r="AI31" i="23"/>
  <c r="AH31" i="23"/>
  <c r="AG31" i="23"/>
  <c r="AF31" i="23"/>
  <c r="AF32" i="23" s="1"/>
  <c r="AF33" i="23" s="1"/>
  <c r="AF34" i="23" s="1"/>
  <c r="AN34" i="23" s="1"/>
  <c r="AC31" i="23"/>
  <c r="AD31" i="23" s="1"/>
  <c r="AA31" i="23"/>
  <c r="X31" i="23"/>
  <c r="W31" i="23"/>
  <c r="V31" i="23"/>
  <c r="Q31" i="23"/>
  <c r="Q37" i="23" s="1"/>
  <c r="Q53" i="23" s="1"/>
  <c r="O31" i="23"/>
  <c r="N31" i="23"/>
  <c r="M31" i="23"/>
  <c r="L31" i="23"/>
  <c r="L32" i="23" s="1"/>
  <c r="L33" i="23" s="1"/>
  <c r="L34" i="23" s="1"/>
  <c r="T34" i="23" s="1"/>
  <c r="I31" i="23"/>
  <c r="J31" i="23" s="1"/>
  <c r="G31" i="23"/>
  <c r="D31" i="23"/>
  <c r="C31" i="23"/>
  <c r="B31" i="23"/>
  <c r="AF30" i="23"/>
  <c r="V30" i="23"/>
  <c r="L30" i="23"/>
  <c r="B30" i="23"/>
  <c r="S26" i="23"/>
  <c r="R26" i="23"/>
  <c r="AB26" i="23" s="1"/>
  <c r="AL26" i="23" s="1"/>
  <c r="H84" i="23" s="1"/>
  <c r="R84" i="23" s="1"/>
  <c r="I26" i="23"/>
  <c r="AJ21" i="23"/>
  <c r="AM52" i="23" s="1"/>
  <c r="AD21" i="23"/>
  <c r="AB21" i="23"/>
  <c r="Z21" i="23"/>
  <c r="AC52" i="23" s="1"/>
  <c r="AD52" i="23" s="1"/>
  <c r="P21" i="23"/>
  <c r="S52" i="23" s="1"/>
  <c r="T52" i="23" s="1"/>
  <c r="J21" i="23"/>
  <c r="H21" i="23"/>
  <c r="F21" i="23"/>
  <c r="I52" i="23" s="1"/>
  <c r="J52" i="23" s="1"/>
  <c r="M20" i="23"/>
  <c r="AG19" i="23"/>
  <c r="AG20" i="23" s="1"/>
  <c r="W19" i="23"/>
  <c r="M19" i="23"/>
  <c r="C19" i="23"/>
  <c r="AN18" i="23"/>
  <c r="AN21" i="23" s="1"/>
  <c r="AM18" i="23"/>
  <c r="AM21" i="23" s="1"/>
  <c r="AL18" i="23"/>
  <c r="AL21" i="23" s="1"/>
  <c r="AK18" i="23"/>
  <c r="AK21" i="23" s="1"/>
  <c r="AD18" i="23"/>
  <c r="AC18" i="23"/>
  <c r="AC21" i="23" s="1"/>
  <c r="AB18" i="23"/>
  <c r="AA18" i="23"/>
  <c r="AA21" i="23" s="1"/>
  <c r="T18" i="23"/>
  <c r="T21" i="23" s="1"/>
  <c r="S18" i="23"/>
  <c r="S21" i="23" s="1"/>
  <c r="R18" i="23"/>
  <c r="R21" i="23" s="1"/>
  <c r="Q18" i="23"/>
  <c r="Q21" i="23" s="1"/>
  <c r="J18" i="23"/>
  <c r="I18" i="23"/>
  <c r="I21" i="23" s="1"/>
  <c r="H18" i="23"/>
  <c r="G18" i="23"/>
  <c r="G21" i="23" s="1"/>
  <c r="Z17" i="23"/>
  <c r="AC47" i="23" s="1"/>
  <c r="F17" i="23"/>
  <c r="I47" i="23" s="1"/>
  <c r="AN15" i="23"/>
  <c r="AM15" i="23"/>
  <c r="AL15" i="23"/>
  <c r="AK15" i="23"/>
  <c r="AD15" i="23"/>
  <c r="AC15" i="23"/>
  <c r="AB15" i="23"/>
  <c r="AA15" i="23"/>
  <c r="T15" i="23"/>
  <c r="S15" i="23"/>
  <c r="R15" i="23"/>
  <c r="Q15" i="23"/>
  <c r="J15" i="23"/>
  <c r="I15" i="23"/>
  <c r="H15" i="23"/>
  <c r="G15" i="23"/>
  <c r="AN14" i="23"/>
  <c r="AM14" i="23"/>
  <c r="AL14" i="23"/>
  <c r="AK14" i="23"/>
  <c r="AD14" i="23"/>
  <c r="AC14" i="23"/>
  <c r="AB14" i="23"/>
  <c r="AA14" i="23"/>
  <c r="T14" i="23"/>
  <c r="S14" i="23"/>
  <c r="R14" i="23"/>
  <c r="Q14" i="23"/>
  <c r="J14" i="23"/>
  <c r="I14" i="23"/>
  <c r="H14" i="23"/>
  <c r="G14" i="23"/>
  <c r="AN12" i="23"/>
  <c r="AM12" i="23"/>
  <c r="AM17" i="23" s="1"/>
  <c r="AL12" i="23"/>
  <c r="AK12" i="23"/>
  <c r="AK17" i="23" s="1"/>
  <c r="AJ12" i="23"/>
  <c r="AM41" i="23" s="1"/>
  <c r="AN41" i="23" s="1"/>
  <c r="AG12" i="23"/>
  <c r="AG13" i="23" s="1"/>
  <c r="AG14" i="23" s="1"/>
  <c r="AG15" i="23" s="1"/>
  <c r="AD12" i="23"/>
  <c r="AC12" i="23"/>
  <c r="AB12" i="23"/>
  <c r="AA12" i="23"/>
  <c r="Z12" i="23"/>
  <c r="AC41" i="23" s="1"/>
  <c r="T12" i="23"/>
  <c r="S12" i="23"/>
  <c r="S17" i="23" s="1"/>
  <c r="R12" i="23"/>
  <c r="Q12" i="23"/>
  <c r="Q17" i="23" s="1"/>
  <c r="P12" i="23"/>
  <c r="S41" i="23" s="1"/>
  <c r="T41" i="23" s="1"/>
  <c r="J12" i="23"/>
  <c r="I12" i="23"/>
  <c r="H12" i="23"/>
  <c r="G12" i="23"/>
  <c r="F12" i="23"/>
  <c r="I41" i="23" s="1"/>
  <c r="C12" i="23"/>
  <c r="C13" i="23" s="1"/>
  <c r="C14" i="23" s="1"/>
  <c r="C15" i="23" s="1"/>
  <c r="AG11" i="23"/>
  <c r="W11" i="23"/>
  <c r="W12" i="23" s="1"/>
  <c r="W13" i="23" s="1"/>
  <c r="W14" i="23" s="1"/>
  <c r="W15" i="23" s="1"/>
  <c r="P11" i="23"/>
  <c r="S40" i="23" s="1"/>
  <c r="M11" i="23"/>
  <c r="M12" i="23" s="1"/>
  <c r="M13" i="23" s="1"/>
  <c r="M14" i="23" s="1"/>
  <c r="M15" i="23" s="1"/>
  <c r="C11" i="23"/>
  <c r="AN10" i="23"/>
  <c r="AN17" i="23" s="1"/>
  <c r="AM10" i="23"/>
  <c r="AL10" i="23"/>
  <c r="AL17" i="23" s="1"/>
  <c r="AK10" i="23"/>
  <c r="AD10" i="23"/>
  <c r="AD17" i="23" s="1"/>
  <c r="AC10" i="23"/>
  <c r="AB10" i="23"/>
  <c r="AB17" i="23" s="1"/>
  <c r="AA10" i="23"/>
  <c r="T10" i="23"/>
  <c r="T17" i="23" s="1"/>
  <c r="S10" i="23"/>
  <c r="R10" i="23"/>
  <c r="R17" i="23" s="1"/>
  <c r="Q10" i="23"/>
  <c r="J10" i="23"/>
  <c r="J17" i="23" s="1"/>
  <c r="I10" i="23"/>
  <c r="H10" i="23"/>
  <c r="H17" i="23" s="1"/>
  <c r="G10" i="23"/>
  <c r="AN9" i="23"/>
  <c r="AJ9" i="23"/>
  <c r="AM37" i="23" s="1"/>
  <c r="AA9" i="23"/>
  <c r="F9" i="23"/>
  <c r="I37" i="23" s="1"/>
  <c r="I53" i="23" s="1"/>
  <c r="AN6" i="23"/>
  <c r="AM6" i="23"/>
  <c r="AL6" i="23"/>
  <c r="AK6" i="23"/>
  <c r="AD6" i="23"/>
  <c r="AC6" i="23"/>
  <c r="AB6" i="23"/>
  <c r="AA6" i="23"/>
  <c r="T6" i="23"/>
  <c r="S6" i="23"/>
  <c r="R6" i="23"/>
  <c r="R9" i="23" s="1"/>
  <c r="Q6" i="23"/>
  <c r="M6" i="23"/>
  <c r="M7" i="23" s="1"/>
  <c r="J6" i="23"/>
  <c r="I6" i="23"/>
  <c r="I9" i="23" s="1"/>
  <c r="H6" i="23"/>
  <c r="G6" i="23"/>
  <c r="AG5" i="23"/>
  <c r="AG6" i="23" s="1"/>
  <c r="AG7" i="23" s="1"/>
  <c r="W5" i="23"/>
  <c r="W6" i="23" s="1"/>
  <c r="W7" i="23" s="1"/>
  <c r="M5" i="23"/>
  <c r="C5" i="23"/>
  <c r="C6" i="23" s="1"/>
  <c r="C7" i="23" s="1"/>
  <c r="AN4" i="23"/>
  <c r="AM4" i="23"/>
  <c r="AM9" i="23" s="1"/>
  <c r="AL4" i="23"/>
  <c r="AL9" i="23" s="1"/>
  <c r="AK4" i="23"/>
  <c r="AK9" i="23" s="1"/>
  <c r="AJ4" i="23"/>
  <c r="AM31" i="23" s="1"/>
  <c r="AN31" i="23" s="1"/>
  <c r="AD4" i="23"/>
  <c r="AD9" i="23" s="1"/>
  <c r="AC4" i="23"/>
  <c r="AC9" i="23" s="1"/>
  <c r="AB4" i="23"/>
  <c r="AB9" i="23" s="1"/>
  <c r="AA4" i="23"/>
  <c r="Z4" i="23"/>
  <c r="Z9" i="23" s="1"/>
  <c r="AC37" i="23" s="1"/>
  <c r="AC53" i="23" s="1"/>
  <c r="AC54" i="23" s="1"/>
  <c r="AB56" i="23" s="1"/>
  <c r="T4" i="23"/>
  <c r="T9" i="23" s="1"/>
  <c r="S4" i="23"/>
  <c r="S9" i="23" s="1"/>
  <c r="R4" i="23"/>
  <c r="Q4" i="23"/>
  <c r="Q9" i="23" s="1"/>
  <c r="P4" i="23"/>
  <c r="S31" i="23" s="1"/>
  <c r="T31" i="23" s="1"/>
  <c r="J4" i="23"/>
  <c r="J9" i="23" s="1"/>
  <c r="I4" i="23"/>
  <c r="H4" i="23"/>
  <c r="H9" i="23" s="1"/>
  <c r="G4" i="23"/>
  <c r="G9" i="23" s="1"/>
  <c r="AD1" i="23"/>
  <c r="AN1" i="23" s="1"/>
  <c r="AM26" i="23" s="1"/>
  <c r="T1" i="23"/>
  <c r="H56" i="23" l="1"/>
  <c r="I54" i="23"/>
  <c r="J47" i="23"/>
  <c r="AC26" i="23"/>
  <c r="G37" i="23"/>
  <c r="G53" i="23" s="1"/>
  <c r="H31" i="23"/>
  <c r="P31" i="23"/>
  <c r="R31" i="23"/>
  <c r="AA37" i="23"/>
  <c r="AB31" i="23"/>
  <c r="AJ31" i="23"/>
  <c r="AL31" i="23"/>
  <c r="P32" i="23"/>
  <c r="AJ32" i="23"/>
  <c r="F33" i="23"/>
  <c r="R33" i="23"/>
  <c r="T33" i="23"/>
  <c r="AJ33" i="23"/>
  <c r="B34" i="23"/>
  <c r="R34" i="23"/>
  <c r="AJ34" i="23"/>
  <c r="J37" i="23"/>
  <c r="AD37" i="23"/>
  <c r="O47" i="23"/>
  <c r="P39" i="23"/>
  <c r="AI47" i="23"/>
  <c r="AJ39" i="23"/>
  <c r="AB40" i="23"/>
  <c r="V41" i="23"/>
  <c r="Z40" i="23"/>
  <c r="H50" i="23"/>
  <c r="F50" i="23"/>
  <c r="P9" i="23"/>
  <c r="S37" i="23" s="1"/>
  <c r="G17" i="23"/>
  <c r="I17" i="23"/>
  <c r="AA17" i="23"/>
  <c r="AC17" i="23"/>
  <c r="AD41" i="23"/>
  <c r="E31" i="23"/>
  <c r="O37" i="23"/>
  <c r="Y31" i="23"/>
  <c r="AI37" i="23"/>
  <c r="F32" i="23"/>
  <c r="R32" i="23"/>
  <c r="T32" i="23"/>
  <c r="Z32" i="23"/>
  <c r="AL32" i="23"/>
  <c r="AN32" i="23"/>
  <c r="J33" i="23"/>
  <c r="P33" i="23"/>
  <c r="V33" i="23"/>
  <c r="AL33" i="23"/>
  <c r="AN33" i="23"/>
  <c r="J34" i="23"/>
  <c r="P34" i="23"/>
  <c r="AL34" i="23"/>
  <c r="AN37" i="23"/>
  <c r="AN53" i="23" s="1"/>
  <c r="E47" i="23"/>
  <c r="F39" i="23"/>
  <c r="L42" i="23"/>
  <c r="R41" i="23"/>
  <c r="P41" i="23"/>
  <c r="Y47" i="23"/>
  <c r="Z39" i="23"/>
  <c r="AF42" i="23"/>
  <c r="AL41" i="23"/>
  <c r="AJ41" i="23"/>
  <c r="F40" i="23"/>
  <c r="R40" i="23"/>
  <c r="AD40" i="23"/>
  <c r="AJ40" i="23"/>
  <c r="B41" i="23"/>
  <c r="P42" i="23"/>
  <c r="AJ42" i="23"/>
  <c r="H91" i="23"/>
  <c r="F91" i="23"/>
  <c r="B92" i="23"/>
  <c r="F49" i="23"/>
  <c r="F52" i="23" s="1"/>
  <c r="H49" i="23"/>
  <c r="H52" i="23" s="1"/>
  <c r="J49" i="23"/>
  <c r="L50" i="23"/>
  <c r="R49" i="23"/>
  <c r="P49" i="23"/>
  <c r="Y52" i="23"/>
  <c r="Z49" i="23"/>
  <c r="Z52" i="23" s="1"/>
  <c r="J50" i="23"/>
  <c r="P50" i="23"/>
  <c r="Z50" i="23"/>
  <c r="AL50" i="23"/>
  <c r="AL52" i="23" s="1"/>
  <c r="P68" i="23"/>
  <c r="S95" i="23" s="1"/>
  <c r="L90" i="23"/>
  <c r="R89" i="23"/>
  <c r="P89" i="23"/>
  <c r="H90" i="23"/>
  <c r="J91" i="23"/>
  <c r="G95" i="23"/>
  <c r="S99" i="23"/>
  <c r="O105" i="23"/>
  <c r="E105" i="23"/>
  <c r="G111" i="23"/>
  <c r="H108" i="23"/>
  <c r="H111" i="23" s="1"/>
  <c r="E108" i="23"/>
  <c r="F108" i="23" s="1"/>
  <c r="P17" i="23"/>
  <c r="S47" i="23" s="1"/>
  <c r="T47" i="23" s="1"/>
  <c r="AJ17" i="23"/>
  <c r="AM47" i="23" s="1"/>
  <c r="AN47" i="23" s="1"/>
  <c r="O52" i="23"/>
  <c r="T49" i="23"/>
  <c r="AA52" i="23"/>
  <c r="AB49" i="23"/>
  <c r="AB52" i="23" s="1"/>
  <c r="AI52" i="23"/>
  <c r="AJ49" i="23"/>
  <c r="AD50" i="23"/>
  <c r="AJ50" i="23"/>
  <c r="S68" i="23"/>
  <c r="AK68" i="23"/>
  <c r="I112" i="23"/>
  <c r="J95" i="23"/>
  <c r="I99" i="23"/>
  <c r="F76" i="23"/>
  <c r="I105" i="23" s="1"/>
  <c r="S84" i="23"/>
  <c r="E89" i="23"/>
  <c r="T89" i="23"/>
  <c r="E90" i="23"/>
  <c r="F90" i="23" s="1"/>
  <c r="J90" i="23"/>
  <c r="P90" i="23"/>
  <c r="J92" i="23"/>
  <c r="O95" i="23"/>
  <c r="O112" i="23" s="1"/>
  <c r="F107" i="23"/>
  <c r="F111" i="23" s="1"/>
  <c r="P107" i="23"/>
  <c r="Q111" i="23"/>
  <c r="R108" i="23"/>
  <c r="O108" i="23"/>
  <c r="P108" i="23" s="1"/>
  <c r="M79" i="23"/>
  <c r="L109" i="23" s="1"/>
  <c r="Q95" i="23"/>
  <c r="Q112" i="23" s="1"/>
  <c r="B98" i="23"/>
  <c r="H97" i="23"/>
  <c r="F97" i="23"/>
  <c r="P97" i="23"/>
  <c r="L98" i="23"/>
  <c r="G105" i="23"/>
  <c r="E111" i="23"/>
  <c r="J107" i="23"/>
  <c r="O111" i="23"/>
  <c r="T107" i="23"/>
  <c r="J108" i="23"/>
  <c r="T108" i="23"/>
  <c r="R98" i="23" l="1"/>
  <c r="L99" i="23"/>
  <c r="P98" i="23"/>
  <c r="T109" i="23"/>
  <c r="R109" i="23"/>
  <c r="R111" i="23" s="1"/>
  <c r="I113" i="23"/>
  <c r="H115" i="23"/>
  <c r="T98" i="23"/>
  <c r="G112" i="23"/>
  <c r="P52" i="23"/>
  <c r="T50" i="23"/>
  <c r="R50" i="23"/>
  <c r="B93" i="23"/>
  <c r="H92" i="23"/>
  <c r="F92" i="23"/>
  <c r="AB33" i="23"/>
  <c r="V34" i="23"/>
  <c r="Z33" i="23"/>
  <c r="Y37" i="23"/>
  <c r="Y53" i="23" s="1"/>
  <c r="Z31" i="23"/>
  <c r="E37" i="23"/>
  <c r="E53" i="23" s="1"/>
  <c r="F31" i="23"/>
  <c r="V42" i="23"/>
  <c r="AB41" i="23"/>
  <c r="Z41" i="23"/>
  <c r="AJ37" i="23"/>
  <c r="AA53" i="23"/>
  <c r="P37" i="23"/>
  <c r="P109" i="23"/>
  <c r="P111" i="23" s="1"/>
  <c r="B99" i="23"/>
  <c r="J98" i="23"/>
  <c r="H98" i="23"/>
  <c r="E95" i="23"/>
  <c r="E112" i="23" s="1"/>
  <c r="F89" i="23"/>
  <c r="J105" i="23"/>
  <c r="J112" i="23" s="1"/>
  <c r="AJ52" i="23"/>
  <c r="T99" i="23"/>
  <c r="F98" i="23"/>
  <c r="L91" i="23"/>
  <c r="T90" i="23"/>
  <c r="R90" i="23"/>
  <c r="S112" i="23"/>
  <c r="R115" i="23" s="1"/>
  <c r="T95" i="23"/>
  <c r="R52" i="23"/>
  <c r="B42" i="23"/>
  <c r="H41" i="23"/>
  <c r="F41" i="23"/>
  <c r="J41" i="23"/>
  <c r="AF43" i="23"/>
  <c r="AN42" i="23"/>
  <c r="AL42" i="23"/>
  <c r="L43" i="23"/>
  <c r="T42" i="23"/>
  <c r="R42" i="23"/>
  <c r="AI53" i="23"/>
  <c r="O53" i="23"/>
  <c r="AD47" i="23"/>
  <c r="AD53" i="23" s="1"/>
  <c r="S53" i="23"/>
  <c r="R56" i="23" s="1"/>
  <c r="T37" i="23"/>
  <c r="T53" i="23" s="1"/>
  <c r="J53" i="23"/>
  <c r="H34" i="23"/>
  <c r="F34" i="23"/>
  <c r="AD33" i="23"/>
  <c r="AL37" i="23"/>
  <c r="R37" i="23"/>
  <c r="H37" i="23"/>
  <c r="AM53" i="23"/>
  <c r="AL56" i="23" s="1"/>
  <c r="AF44" i="23" l="1"/>
  <c r="AN43" i="23"/>
  <c r="AL43" i="23"/>
  <c r="AJ43" i="23"/>
  <c r="H42" i="23"/>
  <c r="B43" i="23"/>
  <c r="F42" i="23"/>
  <c r="J42" i="23"/>
  <c r="T91" i="23"/>
  <c r="R91" i="23"/>
  <c r="L92" i="23"/>
  <c r="P91" i="23"/>
  <c r="AB42" i="23"/>
  <c r="V43" i="23"/>
  <c r="Z42" i="23"/>
  <c r="AD42" i="23"/>
  <c r="AB34" i="23"/>
  <c r="AB37" i="23" s="1"/>
  <c r="Z34" i="23"/>
  <c r="AD34" i="23"/>
  <c r="H93" i="23"/>
  <c r="H95" i="23" s="1"/>
  <c r="F93" i="23"/>
  <c r="F95" i="23" s="1"/>
  <c r="J93" i="23"/>
  <c r="L44" i="23"/>
  <c r="T43" i="23"/>
  <c r="R43" i="23"/>
  <c r="P43" i="23"/>
  <c r="B100" i="23"/>
  <c r="H99" i="23"/>
  <c r="F99" i="23"/>
  <c r="F37" i="23"/>
  <c r="Z37" i="23"/>
  <c r="J99" i="23"/>
  <c r="L100" i="23"/>
  <c r="R99" i="23"/>
  <c r="P99" i="23"/>
  <c r="T105" i="23"/>
  <c r="T112" i="23" s="1"/>
  <c r="B101" i="23" l="1"/>
  <c r="J100" i="23"/>
  <c r="H100" i="23"/>
  <c r="F100" i="23"/>
  <c r="T44" i="23"/>
  <c r="R44" i="23"/>
  <c r="R47" i="23" s="1"/>
  <c r="R53" i="23" s="1"/>
  <c r="P44" i="23"/>
  <c r="L93" i="23"/>
  <c r="T92" i="23"/>
  <c r="R92" i="23"/>
  <c r="P92" i="23"/>
  <c r="H43" i="23"/>
  <c r="B44" i="23"/>
  <c r="F43" i="23"/>
  <c r="J43" i="23"/>
  <c r="AJ47" i="23"/>
  <c r="AJ53" i="23" s="1"/>
  <c r="L101" i="23"/>
  <c r="P100" i="23"/>
  <c r="T100" i="23"/>
  <c r="R100" i="23"/>
  <c r="P47" i="23"/>
  <c r="P53" i="23" s="1"/>
  <c r="AB43" i="23"/>
  <c r="V44" i="23"/>
  <c r="Z43" i="23"/>
  <c r="AD43" i="23"/>
  <c r="AN44" i="23"/>
  <c r="AL44" i="23"/>
  <c r="AL47" i="23" s="1"/>
  <c r="AL53" i="23" s="1"/>
  <c r="AJ44" i="23"/>
  <c r="H47" i="23" l="1"/>
  <c r="H53" i="23" s="1"/>
  <c r="P93" i="23"/>
  <c r="P95" i="23" s="1"/>
  <c r="R93" i="23"/>
  <c r="R95" i="23" s="1"/>
  <c r="T93" i="23"/>
  <c r="B102" i="23"/>
  <c r="J101" i="23"/>
  <c r="H101" i="23"/>
  <c r="F101" i="23"/>
  <c r="AB44" i="23"/>
  <c r="AB47" i="23" s="1"/>
  <c r="AB53" i="23" s="1"/>
  <c r="Z44" i="23"/>
  <c r="Z47" i="23" s="1"/>
  <c r="Z53" i="23" s="1"/>
  <c r="AD44" i="23"/>
  <c r="R101" i="23"/>
  <c r="L102" i="23"/>
  <c r="P101" i="23"/>
  <c r="T101" i="23"/>
  <c r="H44" i="23"/>
  <c r="F44" i="23"/>
  <c r="F47" i="23" s="1"/>
  <c r="F53" i="23" s="1"/>
  <c r="J44" i="23"/>
  <c r="R102" i="23" l="1"/>
  <c r="P102" i="23"/>
  <c r="L103" i="23"/>
  <c r="T102" i="23"/>
  <c r="B103" i="23"/>
  <c r="J102" i="23"/>
  <c r="H102" i="23"/>
  <c r="F102" i="23"/>
  <c r="J103" i="23" l="1"/>
  <c r="H103" i="23"/>
  <c r="H105" i="23" s="1"/>
  <c r="H112" i="23" s="1"/>
  <c r="F103" i="23"/>
  <c r="F105" i="23" s="1"/>
  <c r="F112" i="23" s="1"/>
  <c r="R103" i="23"/>
  <c r="R105" i="23" s="1"/>
  <c r="R112" i="23" s="1"/>
  <c r="P103" i="23"/>
  <c r="P105" i="23" s="1"/>
  <c r="P112" i="23" s="1"/>
  <c r="T103" i="23"/>
  <c r="I1" i="21" l="1"/>
</calcChain>
</file>

<file path=xl/sharedStrings.xml><?xml version="1.0" encoding="utf-8"?>
<sst xmlns="http://schemas.openxmlformats.org/spreadsheetml/2006/main" count="780" uniqueCount="103">
  <si>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</si>
  <si>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</si>
  <si>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</si>
  <si>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</si>
  <si>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</si>
  <si>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</si>
  <si>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</si>
  <si>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</si>
  <si>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</si>
  <si>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</si>
  <si>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</si>
  <si>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</si>
  <si>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</si>
  <si>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</si>
  <si>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</si>
  <si>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</si>
  <si>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</si>
  <si>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</si>
  <si>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</si>
  <si>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</si>
  <si>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</si>
  <si>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</si>
  <si>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</si>
  <si>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</si>
  <si>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</si>
  <si>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</si>
  <si>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</si>
  <si>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</si>
  <si>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</si>
  <si>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</si>
  <si>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</si>
  <si>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</si>
  <si>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</si>
  <si>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1 шт</t>
  </si>
  <si>
    <t>Бухгалтер</t>
  </si>
  <si>
    <t>Гудым Д.С.</t>
  </si>
  <si>
    <t>Зав.производством</t>
  </si>
  <si>
    <t>Мустафаева Н.В.</t>
  </si>
  <si>
    <t>масло</t>
  </si>
  <si>
    <t>250/15</t>
  </si>
  <si>
    <t>250/10</t>
  </si>
  <si>
    <t>гарнир</t>
  </si>
  <si>
    <t>1/150</t>
  </si>
  <si>
    <t>1/50</t>
  </si>
  <si>
    <t>1/10</t>
  </si>
  <si>
    <t>180/5</t>
  </si>
  <si>
    <t>Компот из сухофруктов</t>
  </si>
  <si>
    <t>КГОБУ "Петропавловск-Камчатская школа № 1"</t>
  </si>
  <si>
    <t>Кол-во</t>
  </si>
  <si>
    <t>Макароны отварные с тертым сыром</t>
  </si>
  <si>
    <t>Макароны отварные с тертым сыром и маслом сливочным</t>
  </si>
  <si>
    <t>200/10</t>
  </si>
  <si>
    <t>Чай с сахаром</t>
  </si>
  <si>
    <t>Яйцо отварное 1/40</t>
  </si>
  <si>
    <t>яйцо</t>
  </si>
  <si>
    <t>Салат из свеклы с зеленым горошком</t>
  </si>
  <si>
    <t>Суп картофельный рисовый, с курицей</t>
  </si>
  <si>
    <t>Жаркое по-Домашнему</t>
  </si>
  <si>
    <t>1/250</t>
  </si>
  <si>
    <t>Молоко пастеризованное</t>
  </si>
  <si>
    <t>0,200</t>
  </si>
  <si>
    <t>выпечка</t>
  </si>
  <si>
    <t>Рогалик с маком</t>
  </si>
  <si>
    <t>Булочка с маком</t>
  </si>
  <si>
    <t>Вафли</t>
  </si>
  <si>
    <t xml:space="preserve">Вафли </t>
  </si>
  <si>
    <t>Организация: АО "Столовая № 5"</t>
  </si>
  <si>
    <t xml:space="preserve">НАКЛАДНАЯ № </t>
  </si>
  <si>
    <t>3412</t>
  </si>
  <si>
    <t>Отправитель: Центральное производство</t>
  </si>
  <si>
    <t>Получатель: КГОБУ "Петропавловск-Камчатская школа № 1"</t>
  </si>
  <si>
    <t>Получатель: КГОБУ "Петропавловск-Камчатская школа № 2"</t>
  </si>
  <si>
    <t>№</t>
  </si>
  <si>
    <t>выход, г</t>
  </si>
  <si>
    <t>Наименование</t>
  </si>
  <si>
    <t>Цена Закуп</t>
  </si>
  <si>
    <t>Сумма</t>
  </si>
  <si>
    <t>Цена Производственная</t>
  </si>
  <si>
    <t>Цена Продажная</t>
  </si>
  <si>
    <t>Итого</t>
  </si>
  <si>
    <t>приготовлено 12:30</t>
  </si>
  <si>
    <t>ВСЕГО:</t>
  </si>
  <si>
    <t>Суточная проба</t>
  </si>
  <si>
    <t>Отпустил:</t>
  </si>
  <si>
    <t>Получил:</t>
  </si>
  <si>
    <t>МБОУ "Средняя школа № 26"</t>
  </si>
  <si>
    <t>Платники</t>
  </si>
  <si>
    <t xml:space="preserve">Омлет натуральный </t>
  </si>
  <si>
    <t>подгарнировка</t>
  </si>
  <si>
    <t>Зеленый горошек</t>
  </si>
  <si>
    <t>мармелад</t>
  </si>
  <si>
    <t>Мармелад</t>
  </si>
  <si>
    <t>1/20</t>
  </si>
  <si>
    <t>Помидоры свежие</t>
  </si>
  <si>
    <t>Суп картофельный с мясными фрикадельками</t>
  </si>
  <si>
    <t>250/20</t>
  </si>
  <si>
    <t>Тефтели из говядины</t>
  </si>
  <si>
    <t>1/75</t>
  </si>
  <si>
    <t>Макароны отварные</t>
  </si>
  <si>
    <t>Макароны отварные с м/сл</t>
  </si>
  <si>
    <t>Кисель фруктовый</t>
  </si>
  <si>
    <t>Пирожок печеный с яблоками</t>
  </si>
  <si>
    <t>Получатель: МБОУ "Петропавловск-Камчатская школа № 26"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</si>
</sst>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6">
    <xf numFmtId="0" fontId="0" fillId="0" borderId="0"/>
    <xf numFmtId="0" fontId="33" fillId="0" borderId="0"/>
    <xf numFmtId="0" fontId="37" fillId="0" borderId="0"/>
    <xf numFmtId="0" fontId="40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01">
    <xf numFmtId="0" fontId="0" fillId="0" borderId="0" xfId="0"/>
    <xf numFmtId="0" fontId="34" fillId="0" borderId="0" xfId="0" applyFont="1" applyFill="1"/>
    <xf numFmtId="0" fontId="34" fillId="0" borderId="4" xfId="0" applyFont="1" applyFill="1" applyBorder="1"/>
    <xf numFmtId="14" fontId="34" fillId="0" borderId="4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Alignment="1">
      <alignment vertical="center"/>
    </xf>
    <xf numFmtId="0" fontId="35" fillId="0" borderId="7" xfId="1" applyFont="1" applyFill="1" applyBorder="1" applyAlignment="1">
      <alignment horizontal="left" vertical="center" wrapText="1"/>
    </xf>
    <xf numFmtId="49" fontId="35" fillId="0" borderId="7" xfId="1" applyNumberFormat="1" applyFont="1" applyFill="1" applyBorder="1" applyAlignment="1">
      <alignment horizontal="center" vertical="center" wrapText="1"/>
    </xf>
    <xf numFmtId="4" fontId="36" fillId="0" borderId="7" xfId="1" applyNumberFormat="1" applyFont="1" applyFill="1" applyBorder="1" applyAlignment="1">
      <alignment horizontal="center" vertical="center" wrapText="1"/>
    </xf>
    <xf numFmtId="4" fontId="35" fillId="0" borderId="7" xfId="1" applyNumberFormat="1" applyFont="1" applyBorder="1" applyAlignment="1">
      <alignment horizontal="center" vertical="center" wrapText="1"/>
    </xf>
    <xf numFmtId="4" fontId="35" fillId="0" borderId="8" xfId="1" applyNumberFormat="1" applyFont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left" vertical="center" wrapText="1"/>
    </xf>
    <xf numFmtId="49" fontId="35" fillId="0" borderId="4" xfId="1" applyNumberFormat="1" applyFont="1" applyFill="1" applyBorder="1" applyAlignment="1">
      <alignment horizontal="center" vertical="center" wrapText="1"/>
    </xf>
    <xf numFmtId="4" fontId="36" fillId="0" borderId="4" xfId="1" applyNumberFormat="1" applyFont="1" applyFill="1" applyBorder="1" applyAlignment="1">
      <alignment horizontal="center" vertical="center" wrapText="1"/>
    </xf>
    <xf numFmtId="4" fontId="35" fillId="0" borderId="4" xfId="1" applyNumberFormat="1" applyFont="1" applyBorder="1" applyAlignment="1">
      <alignment horizontal="center" vertical="center" wrapText="1"/>
    </xf>
    <xf numFmtId="4" fontId="35" fillId="0" borderId="9" xfId="1" applyNumberFormat="1" applyFont="1" applyBorder="1" applyAlignment="1">
      <alignment horizontal="center" vertical="center" wrapText="1"/>
    </xf>
    <xf numFmtId="4" fontId="35" fillId="0" borderId="4" xfId="1" applyNumberFormat="1" applyFont="1" applyFill="1" applyBorder="1" applyAlignment="1">
      <alignment horizontal="center" vertical="center" wrapText="1"/>
    </xf>
    <xf numFmtId="4" fontId="35" fillId="0" borderId="9" xfId="1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Protection="1">
      <protection locked="0"/>
    </xf>
    <xf numFmtId="0" fontId="35" fillId="0" borderId="11" xfId="1" applyFont="1" applyFill="1" applyBorder="1" applyAlignment="1">
      <alignment horizontal="left" vertical="center" wrapText="1"/>
    </xf>
    <xf numFmtId="49" fontId="35" fillId="0" borderId="11" xfId="1" applyNumberFormat="1" applyFont="1" applyFill="1" applyBorder="1" applyAlignment="1">
      <alignment horizontal="center" vertical="center" wrapText="1"/>
    </xf>
    <xf numFmtId="2" fontId="38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35" fillId="0" borderId="11" xfId="1" applyNumberFormat="1" applyFont="1" applyFill="1" applyBorder="1" applyAlignment="1">
      <alignment horizontal="center" vertical="center" wrapText="1"/>
    </xf>
    <xf numFmtId="4" fontId="35" fillId="0" borderId="12" xfId="1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4" fillId="0" borderId="11" xfId="0" applyFont="1" applyFill="1" applyBorder="1"/>
    <xf numFmtId="4" fontId="36" fillId="0" borderId="11" xfId="1" applyNumberFormat="1" applyFont="1" applyFill="1" applyBorder="1" applyAlignment="1">
      <alignment horizontal="center" vertical="center" wrapText="1"/>
    </xf>
    <xf numFmtId="0" fontId="39" fillId="0" borderId="7" xfId="2" applyFont="1" applyFill="1" applyBorder="1" applyAlignment="1" applyProtection="1">
      <alignment vertical="center" wrapText="1"/>
      <protection locked="0"/>
    </xf>
    <xf numFmtId="49" fontId="35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49" fontId="34" fillId="0" borderId="14" xfId="0" applyNumberFormat="1" applyFont="1" applyFill="1" applyBorder="1" applyAlignment="1" applyProtection="1">
      <alignment horizontal="center" vertical="center"/>
      <protection locked="0"/>
    </xf>
    <xf numFmtId="2" fontId="34" fillId="0" borderId="14" xfId="0" applyNumberFormat="1" applyFont="1" applyFill="1" applyBorder="1" applyAlignment="1" applyProtection="1">
      <alignment horizontal="center" vertical="center"/>
      <protection locked="0"/>
    </xf>
    <xf numFmtId="2" fontId="34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39" fillId="0" borderId="0" xfId="3" applyNumberFormat="1" applyFont="1" applyBorder="1" applyAlignment="1">
      <alignment horizontal="right" vertical="center"/>
    </xf>
    <xf numFmtId="0" fontId="39" fillId="0" borderId="0" xfId="3" applyNumberFormat="1" applyFont="1" applyBorder="1" applyAlignment="1">
      <alignment horizontal="center" vertical="center"/>
    </xf>
    <xf numFmtId="0" fontId="39" fillId="0" borderId="0" xfId="3" applyNumberFormat="1" applyFont="1" applyBorder="1" applyAlignment="1">
      <alignment vertical="center"/>
    </xf>
    <xf numFmtId="0" fontId="39" fillId="0" borderId="0" xfId="3" applyNumberFormat="1" applyFont="1" applyFill="1" applyBorder="1" applyAlignment="1">
      <alignment vertical="center"/>
    </xf>
    <xf numFmtId="0" fontId="39" fillId="0" borderId="0" xfId="3" applyNumberFormat="1" applyFont="1" applyFill="1" applyBorder="1" applyAlignment="1">
      <alignment horizontal="right" vertical="center"/>
    </xf>
    <xf numFmtId="0" fontId="39" fillId="0" borderId="0" xfId="3" applyNumberFormat="1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vertical="center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49" fontId="34" fillId="0" borderId="22" xfId="0" applyNumberFormat="1" applyFont="1" applyFill="1" applyBorder="1" applyAlignment="1" applyProtection="1">
      <alignment horizontal="center" vertical="center"/>
      <protection locked="0"/>
    </xf>
    <xf numFmtId="4" fontId="36" fillId="0" borderId="22" xfId="1" applyNumberFormat="1" applyFont="1" applyFill="1" applyBorder="1" applyAlignment="1">
      <alignment horizontal="center" vertical="center" wrapText="1"/>
    </xf>
    <xf numFmtId="2" fontId="34" fillId="0" borderId="22" xfId="0" applyNumberFormat="1" applyFont="1" applyFill="1" applyBorder="1" applyAlignment="1" applyProtection="1">
      <alignment horizontal="center" vertical="center"/>
      <protection locked="0"/>
    </xf>
    <xf numFmtId="2" fontId="34" fillId="0" borderId="23" xfId="0" applyNumberFormat="1" applyFont="1" applyFill="1" applyBorder="1" applyAlignment="1" applyProtection="1">
      <alignment horizontal="center" vertical="center"/>
      <protection locked="0"/>
    </xf>
    <xf numFmtId="4" fontId="36" fillId="0" borderId="14" xfId="1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/>
    </xf>
    <xf numFmtId="0" fontId="34" fillId="0" borderId="17" xfId="0" applyFont="1" applyFill="1" applyBorder="1"/>
    <xf numFmtId="0" fontId="34" fillId="0" borderId="18" xfId="0" applyFont="1" applyFill="1" applyBorder="1"/>
    <xf numFmtId="0" fontId="34" fillId="0" borderId="7" xfId="0" applyFont="1" applyFill="1" applyBorder="1" applyProtection="1">
      <protection locked="0"/>
    </xf>
    <xf numFmtId="4" fontId="0" fillId="0" borderId="0" xfId="0" applyNumberFormat="1" applyFill="1"/>
    <xf numFmtId="0" fontId="41" fillId="0" borderId="0" xfId="0" applyFont="1"/>
    <xf numFmtId="0" fontId="41" fillId="0" borderId="0" xfId="0" applyFont="1" applyBorder="1"/>
    <xf numFmtId="1" fontId="34" fillId="0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>
      <alignment vertical="center"/>
    </xf>
    <xf numFmtId="4" fontId="35" fillId="0" borderId="11" xfId="1" applyNumberFormat="1" applyFont="1" applyBorder="1" applyAlignment="1">
      <alignment horizontal="center" vertical="center" wrapText="1"/>
    </xf>
    <xf numFmtId="4" fontId="35" fillId="0" borderId="12" xfId="1" applyNumberFormat="1" applyFont="1" applyBorder="1" applyAlignment="1">
      <alignment horizontal="center" vertical="center" wrapText="1"/>
    </xf>
    <xf numFmtId="0" fontId="34" fillId="0" borderId="4" xfId="0" applyFont="1" applyFill="1" applyBorder="1" applyProtection="1">
      <protection locked="0"/>
    </xf>
    <xf numFmtId="0" fontId="34" fillId="0" borderId="17" xfId="0" applyFont="1" applyFill="1" applyBorder="1" applyAlignment="1">
      <alignment vertical="center"/>
    </xf>
    <xf numFmtId="0" fontId="39" fillId="0" borderId="0" xfId="21" applyNumberFormat="1" applyFont="1" applyFill="1" applyBorder="1" applyAlignment="1" applyProtection="1">
      <alignment vertical="center"/>
    </xf>
    <xf numFmtId="0" fontId="42" fillId="0" borderId="0" xfId="21" applyNumberFormat="1" applyFont="1" applyBorder="1" applyAlignment="1" applyProtection="1"/>
    <xf numFmtId="2" fontId="43" fillId="0" borderId="0" xfId="21" applyNumberFormat="1" applyFont="1" applyFill="1" applyBorder="1" applyAlignment="1" applyProtection="1">
      <alignment horizontal="center"/>
    </xf>
    <xf numFmtId="0" fontId="42" fillId="0" borderId="0" xfId="21" applyNumberFormat="1" applyFont="1" applyBorder="1" applyAlignment="1" applyProtection="1">
      <alignment horizontal="right" vertical="center"/>
    </xf>
    <xf numFmtId="0" fontId="42" fillId="0" borderId="0" xfId="21" applyNumberFormat="1" applyFont="1" applyBorder="1" applyAlignment="1" applyProtection="1">
      <alignment vertical="center"/>
    </xf>
    <xf numFmtId="0" fontId="42" fillId="0" borderId="0" xfId="21" applyNumberFormat="1" applyFont="1" applyFill="1" applyBorder="1" applyAlignment="1" applyProtection="1">
      <alignment vertical="center"/>
    </xf>
    <xf numFmtId="0" fontId="34" fillId="0" borderId="5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0" fontId="34" fillId="0" borderId="5" xfId="0" applyFont="1" applyFill="1" applyBorder="1"/>
    <xf numFmtId="0" fontId="34" fillId="0" borderId="10" xfId="0" applyFont="1" applyFill="1" applyBorder="1"/>
    <xf numFmtId="0" fontId="34" fillId="0" borderId="6" xfId="0" applyFont="1" applyFill="1" applyBorder="1" applyAlignment="1">
      <alignment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" xfId="0" applyFont="1" applyFill="1" applyBorder="1"/>
    <xf numFmtId="4" fontId="35" fillId="0" borderId="7" xfId="1" applyNumberFormat="1" applyFont="1" applyFill="1" applyBorder="1" applyAlignment="1">
      <alignment horizontal="center" vertical="center" wrapText="1"/>
    </xf>
    <xf numFmtId="0" fontId="39" fillId="0" borderId="4" xfId="2" applyFont="1" applyFill="1" applyBorder="1" applyAlignment="1" applyProtection="1">
      <alignment vertical="center" wrapText="1"/>
      <protection locked="0"/>
    </xf>
    <xf numFmtId="0" fontId="39" fillId="0" borderId="11" xfId="2" applyFont="1" applyFill="1" applyBorder="1" applyAlignment="1" applyProtection="1">
      <alignment vertical="center" wrapText="1"/>
      <protection locked="0"/>
    </xf>
    <xf numFmtId="49" fontId="35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>
      <alignment vertical="center"/>
    </xf>
    <xf numFmtId="2" fontId="34" fillId="0" borderId="1" xfId="0" applyNumberFormat="1" applyFont="1" applyFill="1" applyBorder="1" applyAlignment="1" applyProtection="1">
      <alignment horizontal="center"/>
      <protection locked="0"/>
    </xf>
    <xf numFmtId="2" fontId="34" fillId="0" borderId="2" xfId="0" applyNumberFormat="1" applyFont="1" applyFill="1" applyBorder="1" applyAlignment="1" applyProtection="1">
      <alignment horizontal="center"/>
      <protection locked="0"/>
    </xf>
    <xf numFmtId="2" fontId="34" fillId="0" borderId="3" xfId="0" applyNumberFormat="1" applyFont="1" applyFill="1" applyBorder="1" applyAlignment="1" applyProtection="1">
      <alignment horizontal="center"/>
      <protection locked="0"/>
    </xf>
    <xf numFmtId="49" fontId="35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39" fillId="0" borderId="4" xfId="2" applyFont="1" applyFill="1" applyBorder="1" applyAlignment="1" applyProtection="1">
      <alignment vertical="center"/>
      <protection locked="0"/>
    </xf>
    <xf numFmtId="0" fontId="44" fillId="0" borderId="25" xfId="0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/>
      <protection locked="0"/>
    </xf>
    <xf numFmtId="0" fontId="34" fillId="0" borderId="4" xfId="0" applyFont="1" applyFill="1" applyBorder="1" applyAlignment="1">
      <alignment vertical="center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/>
      <protection locked="0"/>
    </xf>
    <xf numFmtId="0" fontId="44" fillId="0" borderId="7" xfId="0" applyFont="1" applyFill="1" applyBorder="1" applyAlignment="1" applyProtection="1">
      <alignment horizontal="center" vertical="center"/>
      <protection locked="0"/>
    </xf>
    <xf numFmtId="0" fontId="34" fillId="0" borderId="4" xfId="0" applyFont="1" applyFill="1" applyBorder="1" applyAlignment="1" applyProtection="1">
      <alignment horizontal="center" vertical="center"/>
      <protection locked="0"/>
    </xf>
    <xf numFmtId="0" fontId="34" fillId="0" borderId="4" xfId="0" applyFont="1" applyFill="1" applyBorder="1" applyAlignment="1" applyProtection="1">
      <alignment horizontal="center"/>
      <protection locked="0"/>
    </xf>
    <xf numFmtId="0" fontId="34" fillId="0" borderId="11" xfId="0" applyFont="1" applyFill="1" applyBorder="1" applyAlignment="1" applyProtection="1">
      <alignment horizontal="center"/>
      <protection locked="0"/>
    </xf>
    <xf numFmtId="0" fontId="34" fillId="0" borderId="16" xfId="0" applyFont="1" applyFill="1" applyBorder="1"/>
    <xf numFmtId="0" fontId="44" fillId="0" borderId="7" xfId="0" applyFont="1" applyFill="1" applyBorder="1" applyAlignment="1" applyProtection="1">
      <alignment horizontal="center"/>
      <protection locked="0"/>
    </xf>
    <xf numFmtId="0" fontId="34" fillId="0" borderId="28" xfId="0" applyFont="1" applyFill="1" applyBorder="1"/>
    <xf numFmtId="0" fontId="34" fillId="0" borderId="3" xfId="0" applyFont="1" applyFill="1" applyBorder="1" applyAlignment="1">
      <alignment vertical="center"/>
    </xf>
    <xf numFmtId="0" fontId="34" fillId="0" borderId="18" xfId="0" applyFont="1" applyFill="1" applyBorder="1" applyAlignment="1">
      <alignment vertical="center"/>
    </xf>
    <xf numFmtId="0" fontId="34" fillId="0" borderId="11" xfId="0" applyFont="1" applyFill="1" applyBorder="1" applyAlignment="1" applyProtection="1">
      <alignment horizontal="center" vertical="center"/>
      <protection locked="0"/>
    </xf>
    <xf numFmtId="0" fontId="34" fillId="0" borderId="24" xfId="0" applyFont="1" applyFill="1" applyBorder="1" applyAlignment="1">
      <alignment vertical="center"/>
    </xf>
    <xf numFmtId="0" fontId="39" fillId="0" borderId="0" xfId="35" applyNumberFormat="1" applyFont="1" applyFill="1" applyBorder="1" applyAlignment="1" applyProtection="1">
      <alignment vertical="center"/>
    </xf>
    <xf numFmtId="0" fontId="39" fillId="0" borderId="0" xfId="35" applyNumberFormat="1" applyFont="1" applyFill="1" applyBorder="1" applyAlignment="1" applyProtection="1">
      <alignment horizontal="left" vertical="center"/>
    </xf>
    <xf numFmtId="0" fontId="45" fillId="0" borderId="0" xfId="35" applyNumberFormat="1" applyFont="1" applyFill="1" applyBorder="1" applyAlignment="1" applyProtection="1">
      <alignment horizontal="left" vertical="center"/>
    </xf>
    <xf numFmtId="0" fontId="45" fillId="0" borderId="0" xfId="35" applyNumberFormat="1" applyFont="1" applyFill="1" applyBorder="1" applyAlignment="1" applyProtection="1">
      <alignment horizontal="center" vertical="center"/>
    </xf>
    <xf numFmtId="49" fontId="45" fillId="0" borderId="0" xfId="35" applyNumberFormat="1" applyFont="1" applyFill="1" applyBorder="1" applyAlignment="1" applyProtection="1">
      <alignment horizontal="center" vertical="center"/>
    </xf>
    <xf numFmtId="49" fontId="46" fillId="0" borderId="0" xfId="35" applyNumberFormat="1" applyFont="1" applyFill="1" applyBorder="1" applyAlignment="1" applyProtection="1">
      <alignment horizontal="center" vertical="center"/>
    </xf>
    <xf numFmtId="0" fontId="35" fillId="0" borderId="0" xfId="35" applyNumberFormat="1" applyFont="1" applyFill="1" applyBorder="1" applyAlignment="1" applyProtection="1">
      <alignment horizontal="left" vertical="center"/>
    </xf>
    <xf numFmtId="0" fontId="47" fillId="0" borderId="0" xfId="35" applyNumberFormat="1" applyFont="1" applyFill="1" applyBorder="1" applyAlignment="1" applyProtection="1">
      <alignment horizontal="left" vertical="center"/>
    </xf>
    <xf numFmtId="0" fontId="47" fillId="0" borderId="0" xfId="35" applyNumberFormat="1" applyFont="1" applyFill="1" applyBorder="1" applyAlignment="1" applyProtection="1">
      <alignment horizontal="center" vertical="center"/>
    </xf>
    <xf numFmtId="0" fontId="35" fillId="0" borderId="0" xfId="35" applyNumberFormat="1" applyFont="1" applyFill="1" applyBorder="1" applyAlignment="1" applyProtection="1">
      <alignment vertical="center"/>
    </xf>
    <xf numFmtId="49" fontId="47" fillId="0" borderId="0" xfId="35" applyNumberFormat="1" applyFont="1" applyFill="1" applyBorder="1" applyAlignment="1" applyProtection="1">
      <alignment horizontal="center" vertical="center"/>
    </xf>
    <xf numFmtId="14" fontId="47" fillId="0" borderId="0" xfId="35" applyNumberFormat="1" applyFont="1" applyFill="1" applyBorder="1" applyAlignment="1" applyProtection="1">
      <alignment horizontal="center" vertical="center"/>
    </xf>
    <xf numFmtId="0" fontId="33" fillId="0" borderId="0" xfId="0" applyFont="1"/>
    <xf numFmtId="0" fontId="35" fillId="0" borderId="0" xfId="35" applyNumberFormat="1" applyFont="1" applyFill="1" applyBorder="1" applyAlignment="1" applyProtection="1">
      <alignment horizontal="center" vertical="center"/>
    </xf>
    <xf numFmtId="0" fontId="47" fillId="0" borderId="0" xfId="35" applyNumberFormat="1" applyFont="1" applyFill="1" applyBorder="1" applyAlignment="1" applyProtection="1">
      <alignment vertical="center"/>
    </xf>
    <xf numFmtId="0" fontId="48" fillId="0" borderId="30" xfId="35" applyNumberFormat="1" applyFont="1" applyBorder="1" applyAlignment="1" applyProtection="1">
      <alignment horizontal="center" vertical="center" wrapText="1"/>
    </xf>
    <xf numFmtId="0" fontId="48" fillId="0" borderId="31" xfId="35" applyNumberFormat="1" applyFont="1" applyBorder="1" applyAlignment="1" applyProtection="1">
      <alignment horizontal="center" vertical="center" wrapText="1"/>
    </xf>
    <xf numFmtId="0" fontId="48" fillId="0" borderId="31" xfId="35" applyNumberFormat="1" applyFont="1" applyFill="1" applyBorder="1" applyAlignment="1" applyProtection="1">
      <alignment horizontal="center" vertical="center" wrapText="1"/>
    </xf>
    <xf numFmtId="0" fontId="48" fillId="0" borderId="32" xfId="35" applyNumberFormat="1" applyFont="1" applyFill="1" applyBorder="1" applyAlignment="1" applyProtection="1">
      <alignment horizontal="center" vertical="center" wrapText="1"/>
    </xf>
    <xf numFmtId="0" fontId="48" fillId="0" borderId="33" xfId="35" applyNumberFormat="1" applyFont="1" applyBorder="1" applyAlignment="1" applyProtection="1">
      <alignment horizontal="center" vertical="center" wrapText="1"/>
    </xf>
    <xf numFmtId="0" fontId="42" fillId="0" borderId="16" xfId="35" applyNumberFormat="1" applyFont="1" applyBorder="1" applyAlignment="1" applyProtection="1">
      <alignment horizontal="center"/>
    </xf>
    <xf numFmtId="0" fontId="48" fillId="0" borderId="7" xfId="35" applyNumberFormat="1" applyFont="1" applyBorder="1" applyAlignment="1" applyProtection="1">
      <alignment horizontal="center"/>
    </xf>
    <xf numFmtId="0" fontId="49" fillId="0" borderId="7" xfId="35" applyNumberFormat="1" applyFont="1" applyBorder="1" applyAlignment="1" applyProtection="1"/>
    <xf numFmtId="0" fontId="49" fillId="0" borderId="7" xfId="35" applyNumberFormat="1" applyFont="1" applyFill="1" applyBorder="1" applyAlignment="1" applyProtection="1"/>
    <xf numFmtId="0" fontId="49" fillId="0" borderId="8" xfId="35" applyNumberFormat="1" applyFont="1" applyFill="1" applyBorder="1" applyAlignment="1" applyProtection="1"/>
    <xf numFmtId="0" fontId="42" fillId="0" borderId="16" xfId="35" applyNumberFormat="1" applyFont="1" applyBorder="1" applyAlignment="1" applyProtection="1">
      <alignment horizontal="center" vertical="center"/>
    </xf>
    <xf numFmtId="0" fontId="42" fillId="0" borderId="28" xfId="35" applyNumberFormat="1" applyFont="1" applyBorder="1" applyAlignment="1" applyProtection="1">
      <alignment horizontal="center"/>
    </xf>
    <xf numFmtId="0" fontId="42" fillId="0" borderId="17" xfId="35" applyNumberFormat="1" applyFont="1" applyFill="1" applyBorder="1" applyAlignment="1" applyProtection="1">
      <alignment horizontal="center"/>
    </xf>
    <xf numFmtId="0" fontId="42" fillId="0" borderId="4" xfId="35" applyNumberFormat="1" applyFont="1" applyFill="1" applyBorder="1" applyAlignment="1" applyProtection="1">
      <alignment horizontal="center" wrapText="1"/>
    </xf>
    <xf numFmtId="1" fontId="42" fillId="0" borderId="4" xfId="35" applyNumberFormat="1" applyFont="1" applyFill="1" applyBorder="1" applyAlignment="1" applyProtection="1">
      <alignment horizontal="center"/>
    </xf>
    <xf numFmtId="1" fontId="42" fillId="0" borderId="4" xfId="35" applyNumberFormat="1" applyFont="1" applyFill="1" applyBorder="1" applyAlignment="1" applyProtection="1">
      <alignment horizontal="left"/>
    </xf>
    <xf numFmtId="2" fontId="42" fillId="0" borderId="4" xfId="35" applyNumberFormat="1" applyFont="1" applyFill="1" applyBorder="1" applyAlignment="1" applyProtection="1">
      <alignment horizontal="center"/>
    </xf>
    <xf numFmtId="2" fontId="48" fillId="0" borderId="4" xfId="3" applyNumberFormat="1" applyFont="1" applyFill="1" applyBorder="1" applyAlignment="1">
      <alignment horizontal="center" vertical="center"/>
    </xf>
    <xf numFmtId="2" fontId="42" fillId="0" borderId="9" xfId="35" applyNumberFormat="1" applyFont="1" applyFill="1" applyBorder="1" applyAlignment="1" applyProtection="1">
      <alignment horizontal="center"/>
    </xf>
    <xf numFmtId="0" fontId="42" fillId="0" borderId="17" xfId="35" applyNumberFormat="1" applyFont="1" applyFill="1" applyBorder="1" applyAlignment="1" applyProtection="1">
      <alignment horizontal="center" vertical="center"/>
    </xf>
    <xf numFmtId="0" fontId="42" fillId="0" borderId="3" xfId="35" applyNumberFormat="1" applyFont="1" applyFill="1" applyBorder="1" applyAlignment="1" applyProtection="1">
      <alignment horizontal="center" vertical="center"/>
    </xf>
    <xf numFmtId="2" fontId="48" fillId="0" borderId="4" xfId="3" applyNumberFormat="1" applyFont="1" applyBorder="1" applyAlignment="1">
      <alignment horizontal="center" vertical="center"/>
    </xf>
    <xf numFmtId="0" fontId="42" fillId="0" borderId="4" xfId="35" applyNumberFormat="1" applyFont="1" applyFill="1" applyBorder="1" applyAlignment="1" applyProtection="1">
      <alignment horizontal="left" wrapText="1"/>
    </xf>
    <xf numFmtId="0" fontId="42" fillId="0" borderId="4" xfId="35" applyNumberFormat="1" applyFont="1" applyFill="1" applyBorder="1" applyAlignment="1" applyProtection="1">
      <alignment horizontal="center"/>
    </xf>
    <xf numFmtId="49" fontId="42" fillId="0" borderId="4" xfId="35" applyNumberFormat="1" applyFont="1" applyFill="1" applyBorder="1" applyAlignment="1" applyProtection="1">
      <alignment horizontal="center"/>
    </xf>
    <xf numFmtId="0" fontId="48" fillId="0" borderId="4" xfId="35" applyNumberFormat="1" applyFont="1" applyFill="1" applyBorder="1" applyAlignment="1" applyProtection="1">
      <alignment horizontal="right" wrapText="1"/>
    </xf>
    <xf numFmtId="0" fontId="48" fillId="0" borderId="4" xfId="35" applyNumberFormat="1" applyFont="1" applyFill="1" applyBorder="1" applyAlignment="1" applyProtection="1">
      <alignment horizontal="center"/>
    </xf>
    <xf numFmtId="2" fontId="48" fillId="0" borderId="4" xfId="35" applyNumberFormat="1" applyFont="1" applyFill="1" applyBorder="1" applyAlignment="1" applyProtection="1">
      <alignment horizontal="center"/>
    </xf>
    <xf numFmtId="2" fontId="48" fillId="0" borderId="9" xfId="35" applyNumberFormat="1" applyFont="1" applyFill="1" applyBorder="1" applyAlignment="1" applyProtection="1">
      <alignment horizontal="center"/>
    </xf>
    <xf numFmtId="0" fontId="49" fillId="0" borderId="4" xfId="35" applyNumberFormat="1" applyFont="1" applyFill="1" applyBorder="1" applyAlignment="1" applyProtection="1"/>
    <xf numFmtId="0" fontId="42" fillId="0" borderId="4" xfId="35" applyNumberFormat="1" applyFont="1" applyFill="1" applyBorder="1" applyAlignment="1" applyProtection="1"/>
    <xf numFmtId="0" fontId="42" fillId="0" borderId="4" xfId="35" applyNumberFormat="1" applyFont="1" applyFill="1" applyBorder="1" applyAlignment="1" applyProtection="1">
      <alignment horizontal="center" vertical="center" wrapText="1"/>
    </xf>
    <xf numFmtId="164" fontId="42" fillId="0" borderId="4" xfId="35" applyNumberFormat="1" applyFont="1" applyFill="1" applyBorder="1" applyAlignment="1" applyProtection="1">
      <alignment horizontal="center" vertical="center"/>
    </xf>
    <xf numFmtId="2" fontId="42" fillId="0" borderId="4" xfId="35" applyNumberFormat="1" applyFont="1" applyFill="1" applyBorder="1" applyAlignment="1" applyProtection="1">
      <alignment horizontal="left" vertical="center"/>
    </xf>
    <xf numFmtId="2" fontId="48" fillId="0" borderId="4" xfId="3" applyNumberFormat="1" applyFont="1" applyFill="1" applyBorder="1" applyAlignment="1">
      <alignment horizontal="center" vertical="center" wrapText="1"/>
    </xf>
    <xf numFmtId="0" fontId="42" fillId="0" borderId="17" xfId="35" applyNumberFormat="1" applyFont="1" applyFill="1" applyBorder="1" applyAlignment="1" applyProtection="1">
      <alignment horizontal="center" vertical="center" wrapText="1"/>
    </xf>
    <xf numFmtId="1" fontId="42" fillId="0" borderId="4" xfId="35" applyNumberFormat="1" applyFont="1" applyFill="1" applyBorder="1" applyAlignment="1" applyProtection="1">
      <alignment horizontal="center" vertical="center" wrapText="1"/>
    </xf>
    <xf numFmtId="1" fontId="42" fillId="0" borderId="4" xfId="35" applyNumberFormat="1" applyFont="1" applyFill="1" applyBorder="1" applyAlignment="1" applyProtection="1">
      <alignment horizontal="left" vertical="center" wrapText="1"/>
    </xf>
    <xf numFmtId="2" fontId="42" fillId="0" borderId="4" xfId="35" applyNumberFormat="1" applyFont="1" applyFill="1" applyBorder="1" applyAlignment="1" applyProtection="1">
      <alignment horizontal="center" vertical="center" wrapText="1"/>
    </xf>
    <xf numFmtId="2" fontId="42" fillId="0" borderId="9" xfId="35" applyNumberFormat="1" applyFont="1" applyFill="1" applyBorder="1" applyAlignment="1" applyProtection="1">
      <alignment horizontal="center" vertical="center" wrapText="1"/>
    </xf>
    <xf numFmtId="0" fontId="42" fillId="0" borderId="3" xfId="35" applyNumberFormat="1" applyFont="1" applyFill="1" applyBorder="1" applyAlignment="1" applyProtection="1">
      <alignment horizontal="center" vertical="center" wrapText="1"/>
    </xf>
    <xf numFmtId="0" fontId="42" fillId="0" borderId="17" xfId="35" applyNumberFormat="1" applyFont="1" applyFill="1" applyBorder="1" applyAlignment="1" applyProtection="1"/>
    <xf numFmtId="0" fontId="42" fillId="0" borderId="3" xfId="35" applyNumberFormat="1" applyFont="1" applyFill="1" applyBorder="1" applyAlignment="1" applyProtection="1"/>
    <xf numFmtId="0" fontId="42" fillId="0" borderId="18" xfId="35" applyNumberFormat="1" applyFont="1" applyBorder="1" applyAlignment="1" applyProtection="1"/>
    <xf numFmtId="0" fontId="48" fillId="0" borderId="11" xfId="35" applyNumberFormat="1" applyFont="1" applyFill="1" applyBorder="1" applyAlignment="1" applyProtection="1">
      <alignment horizontal="right" wrapText="1"/>
    </xf>
    <xf numFmtId="0" fontId="48" fillId="0" borderId="11" xfId="35" applyNumberFormat="1" applyFont="1" applyBorder="1" applyAlignment="1" applyProtection="1">
      <alignment horizontal="center"/>
    </xf>
    <xf numFmtId="2" fontId="48" fillId="0" borderId="11" xfId="35" applyNumberFormat="1" applyFont="1" applyFill="1" applyBorder="1" applyAlignment="1" applyProtection="1">
      <alignment horizontal="center"/>
    </xf>
    <xf numFmtId="2" fontId="48" fillId="0" borderId="12" xfId="35" applyNumberFormat="1" applyFont="1" applyFill="1" applyBorder="1" applyAlignment="1" applyProtection="1">
      <alignment horizontal="center"/>
    </xf>
    <xf numFmtId="0" fontId="42" fillId="0" borderId="24" xfId="35" applyNumberFormat="1" applyFont="1" applyBorder="1" applyAlignment="1" applyProtection="1"/>
    <xf numFmtId="0" fontId="42" fillId="0" borderId="34" xfId="35" applyNumberFormat="1" applyFont="1" applyBorder="1" applyAlignment="1" applyProtection="1"/>
    <xf numFmtId="0" fontId="48" fillId="0" borderId="35" xfId="35" applyNumberFormat="1" applyFont="1" applyBorder="1" applyAlignment="1" applyProtection="1">
      <alignment horizontal="right" wrapText="1"/>
    </xf>
    <xf numFmtId="0" fontId="42" fillId="0" borderId="35" xfId="35" applyNumberFormat="1" applyFont="1" applyBorder="1" applyAlignment="1" applyProtection="1">
      <alignment horizontal="center"/>
    </xf>
    <xf numFmtId="0" fontId="48" fillId="0" borderId="35" xfId="35" applyNumberFormat="1" applyFont="1" applyBorder="1" applyAlignment="1" applyProtection="1">
      <alignment horizontal="center" wrapText="1"/>
    </xf>
    <xf numFmtId="2" fontId="48" fillId="0" borderId="35" xfId="35" applyNumberFormat="1" applyFont="1" applyFill="1" applyBorder="1" applyAlignment="1" applyProtection="1">
      <alignment horizontal="center"/>
    </xf>
    <xf numFmtId="2" fontId="48" fillId="0" borderId="36" xfId="35" applyNumberFormat="1" applyFont="1" applyFill="1" applyBorder="1" applyAlignment="1" applyProtection="1">
      <alignment horizontal="center"/>
    </xf>
    <xf numFmtId="0" fontId="42" fillId="0" borderId="16" xfId="35" applyNumberFormat="1" applyFont="1" applyBorder="1" applyAlignment="1" applyProtection="1"/>
    <xf numFmtId="0" fontId="48" fillId="0" borderId="7" xfId="35" applyNumberFormat="1" applyFont="1" applyBorder="1" applyAlignment="1" applyProtection="1">
      <alignment horizontal="right" wrapText="1"/>
    </xf>
    <xf numFmtId="0" fontId="42" fillId="0" borderId="7" xfId="35" applyNumberFormat="1" applyFont="1" applyBorder="1" applyAlignment="1" applyProtection="1">
      <alignment horizontal="center"/>
    </xf>
    <xf numFmtId="0" fontId="48" fillId="0" borderId="7" xfId="35" applyNumberFormat="1" applyFont="1" applyBorder="1" applyAlignment="1" applyProtection="1">
      <alignment horizontal="center" wrapText="1"/>
    </xf>
    <xf numFmtId="2" fontId="48" fillId="0" borderId="7" xfId="35" applyNumberFormat="1" applyFont="1" applyFill="1" applyBorder="1" applyAlignment="1" applyProtection="1">
      <alignment horizontal="center"/>
    </xf>
    <xf numFmtId="2" fontId="48" fillId="0" borderId="8" xfId="35" applyNumberFormat="1" applyFont="1" applyFill="1" applyBorder="1" applyAlignment="1" applyProtection="1">
      <alignment horizontal="center"/>
    </xf>
    <xf numFmtId="0" fontId="42" fillId="0" borderId="37" xfId="35" applyNumberFormat="1" applyFont="1" applyBorder="1" applyAlignment="1" applyProtection="1"/>
    <xf numFmtId="0" fontId="43" fillId="0" borderId="11" xfId="35" applyNumberFormat="1" applyFont="1" applyBorder="1" applyAlignment="1" applyProtection="1">
      <alignment horizontal="right"/>
    </xf>
    <xf numFmtId="0" fontId="49" fillId="0" borderId="11" xfId="35" applyNumberFormat="1" applyFont="1" applyBorder="1" applyAlignment="1" applyProtection="1"/>
    <xf numFmtId="0" fontId="43" fillId="0" borderId="11" xfId="35" applyNumberFormat="1" applyFont="1" applyBorder="1" applyAlignment="1" applyProtection="1">
      <alignment horizontal="center"/>
    </xf>
    <xf numFmtId="2" fontId="43" fillId="0" borderId="11" xfId="35" applyNumberFormat="1" applyFont="1" applyFill="1" applyBorder="1" applyAlignment="1" applyProtection="1">
      <alignment horizontal="center"/>
    </xf>
    <xf numFmtId="2" fontId="43" fillId="0" borderId="12" xfId="35" applyNumberFormat="1" applyFont="1" applyFill="1" applyBorder="1" applyAlignment="1" applyProtection="1">
      <alignment horizontal="center"/>
    </xf>
    <xf numFmtId="0" fontId="50" fillId="0" borderId="0" xfId="35" applyNumberFormat="1" applyFont="1" applyBorder="1" applyAlignment="1" applyProtection="1"/>
    <xf numFmtId="0" fontId="51" fillId="0" borderId="0" xfId="35" applyNumberFormat="1" applyFont="1" applyBorder="1" applyAlignment="1" applyProtection="1">
      <alignment horizontal="right"/>
    </xf>
    <xf numFmtId="0" fontId="52" fillId="0" borderId="0" xfId="35" applyNumberFormat="1" applyFont="1" applyBorder="1" applyAlignment="1" applyProtection="1"/>
    <xf numFmtId="0" fontId="51" fillId="0" borderId="0" xfId="35" applyNumberFormat="1" applyFont="1" applyBorder="1" applyAlignment="1" applyProtection="1">
      <alignment horizontal="center"/>
    </xf>
    <xf numFmtId="2" fontId="51" fillId="0" borderId="0" xfId="35" applyNumberFormat="1" applyFont="1" applyFill="1" applyBorder="1" applyAlignment="1" applyProtection="1">
      <alignment horizontal="center"/>
    </xf>
    <xf numFmtId="0" fontId="53" fillId="0" borderId="0" xfId="0" applyFont="1"/>
    <xf numFmtId="0" fontId="42" fillId="0" borderId="0" xfId="35" applyNumberFormat="1" applyFont="1" applyBorder="1" applyAlignment="1" applyProtection="1"/>
    <xf numFmtId="0" fontId="42" fillId="0" borderId="0" xfId="35" applyNumberFormat="1" applyFont="1" applyAlignment="1" applyProtection="1">
      <alignment horizontal="right" vertical="center"/>
    </xf>
    <xf numFmtId="0" fontId="42" fillId="0" borderId="38" xfId="35" applyNumberFormat="1" applyFont="1" applyBorder="1" applyAlignment="1" applyProtection="1">
      <alignment vertical="center"/>
    </xf>
    <xf numFmtId="0" fontId="42" fillId="0" borderId="0" xfId="35" applyNumberFormat="1" applyFont="1" applyFill="1" applyAlignment="1" applyProtection="1">
      <alignment vertical="center"/>
    </xf>
    <xf numFmtId="2" fontId="43" fillId="0" borderId="0" xfId="35" applyNumberFormat="1" applyFont="1" applyFill="1" applyBorder="1" applyAlignment="1" applyProtection="1">
      <alignment horizontal="center"/>
    </xf>
    <xf numFmtId="0" fontId="42" fillId="0" borderId="0" xfId="35" applyNumberFormat="1" applyFont="1" applyAlignment="1" applyProtection="1">
      <alignment vertical="center"/>
    </xf>
    <xf numFmtId="2" fontId="48" fillId="0" borderId="0" xfId="35" applyNumberFormat="1" applyFont="1" applyFill="1" applyAlignment="1" applyProtection="1">
      <alignment vertical="center"/>
    </xf>
    <xf numFmtId="0" fontId="54" fillId="0" borderId="0" xfId="35" applyNumberFormat="1" applyFont="1" applyAlignment="1" applyProtection="1">
      <alignment horizontal="right" vertical="center"/>
    </xf>
    <xf numFmtId="0" fontId="54" fillId="0" borderId="38" xfId="35" applyNumberFormat="1" applyFont="1" applyBorder="1" applyAlignment="1" applyProtection="1">
      <alignment vertical="center"/>
    </xf>
    <xf numFmtId="0" fontId="54" fillId="0" borderId="0" xfId="35" applyNumberFormat="1" applyFont="1" applyFill="1" applyAlignment="1" applyProtection="1">
      <alignment vertical="center"/>
    </xf>
    <xf numFmtId="0" fontId="55" fillId="0" borderId="0" xfId="0" applyFont="1" applyFill="1"/>
    <xf numFmtId="0" fontId="34" fillId="0" borderId="3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vertical="center"/>
    </xf>
    <xf numFmtId="0" fontId="34" fillId="0" borderId="41" xfId="0" applyFont="1" applyFill="1" applyBorder="1" applyProtection="1">
      <protection locked="0"/>
    </xf>
    <xf numFmtId="0" fontId="34" fillId="0" borderId="42" xfId="0" applyFont="1" applyFill="1" applyBorder="1" applyAlignment="1" applyProtection="1">
      <alignment horizontal="center"/>
      <protection locked="0"/>
    </xf>
    <xf numFmtId="0" fontId="35" fillId="0" borderId="41" xfId="1" applyFont="1" applyFill="1" applyBorder="1" applyAlignment="1">
      <alignment horizontal="left" vertical="center" wrapText="1"/>
    </xf>
    <xf numFmtId="49" fontId="35" fillId="0" borderId="41" xfId="1" applyNumberFormat="1" applyFont="1" applyFill="1" applyBorder="1" applyAlignment="1">
      <alignment horizontal="center" vertical="center" wrapText="1"/>
    </xf>
    <xf numFmtId="4" fontId="36" fillId="0" borderId="41" xfId="1" applyNumberFormat="1" applyFont="1" applyFill="1" applyBorder="1" applyAlignment="1">
      <alignment horizontal="center" vertical="center" wrapText="1"/>
    </xf>
    <xf numFmtId="4" fontId="35" fillId="0" borderId="41" xfId="1" applyNumberFormat="1" applyFont="1" applyBorder="1" applyAlignment="1">
      <alignment horizontal="center" vertical="center" wrapText="1"/>
    </xf>
    <xf numFmtId="4" fontId="35" fillId="0" borderId="43" xfId="1" applyNumberFormat="1" applyFont="1" applyBorder="1" applyAlignment="1">
      <alignment horizontal="center" vertical="center" wrapText="1"/>
    </xf>
    <xf numFmtId="0" fontId="34" fillId="0" borderId="0" xfId="0" applyFont="1" applyFill="1" applyBorder="1"/>
    <xf numFmtId="0" fontId="34" fillId="0" borderId="13" xfId="0" applyFont="1" applyFill="1" applyBorder="1"/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49" fontId="34" fillId="0" borderId="20" xfId="0" applyNumberFormat="1" applyFont="1" applyFill="1" applyBorder="1" applyAlignment="1" applyProtection="1">
      <alignment horizontal="center" vertical="center"/>
      <protection locked="0"/>
    </xf>
    <xf numFmtId="2" fontId="34" fillId="0" borderId="20" xfId="0" applyNumberFormat="1" applyFont="1" applyFill="1" applyBorder="1" applyAlignment="1" applyProtection="1">
      <alignment horizontal="center" vertical="center"/>
      <protection locked="0"/>
    </xf>
    <xf numFmtId="2" fontId="34" fillId="0" borderId="21" xfId="0" applyNumberFormat="1" applyFont="1" applyFill="1" applyBorder="1" applyAlignment="1" applyProtection="1">
      <alignment horizontal="center" vertical="center"/>
      <protection locked="0"/>
    </xf>
    <xf numFmtId="0" fontId="34" fillId="0" borderId="28" xfId="0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34" fillId="0" borderId="44" xfId="0" applyFont="1" applyFill="1" applyBorder="1"/>
    <xf numFmtId="0" fontId="34" fillId="0" borderId="41" xfId="0" applyFont="1" applyFill="1" applyBorder="1"/>
    <xf numFmtId="0" fontId="34" fillId="0" borderId="41" xfId="0" applyFont="1" applyFill="1" applyBorder="1" applyAlignment="1" applyProtection="1">
      <alignment horizontal="center"/>
      <protection locked="0"/>
    </xf>
    <xf numFmtId="0" fontId="34" fillId="0" borderId="45" xfId="0" applyFont="1" applyFill="1" applyBorder="1"/>
    <xf numFmtId="0" fontId="39" fillId="0" borderId="20" xfId="2" applyFont="1" applyFill="1" applyBorder="1" applyAlignment="1" applyProtection="1">
      <alignment vertical="center" wrapText="1"/>
      <protection locked="0"/>
    </xf>
    <xf numFmtId="49" fontId="35" fillId="0" borderId="20" xfId="2" applyNumberFormat="1" applyFont="1" applyFill="1" applyBorder="1" applyAlignment="1" applyProtection="1">
      <alignment horizontal="center" vertical="center" wrapText="1"/>
      <protection locked="0"/>
    </xf>
    <xf numFmtId="4" fontId="35" fillId="0" borderId="20" xfId="1" applyNumberFormat="1" applyFont="1" applyBorder="1" applyAlignment="1">
      <alignment horizontal="center" vertical="center" wrapText="1"/>
    </xf>
    <xf numFmtId="4" fontId="35" fillId="0" borderId="21" xfId="1" applyNumberFormat="1" applyFont="1" applyBorder="1" applyAlignment="1">
      <alignment horizontal="center" vertical="center" wrapText="1"/>
    </xf>
    <xf numFmtId="4" fontId="35" fillId="0" borderId="46" xfId="1" applyNumberFormat="1" applyFont="1" applyBorder="1" applyAlignment="1">
      <alignment horizontal="center" vertical="center" wrapText="1"/>
    </xf>
    <xf numFmtId="4" fontId="35" fillId="0" borderId="1" xfId="1" applyNumberFormat="1" applyFont="1" applyBorder="1" applyAlignment="1">
      <alignment horizontal="center" vertical="center" wrapText="1"/>
    </xf>
    <xf numFmtId="4" fontId="35" fillId="0" borderId="26" xfId="1" applyNumberFormat="1" applyFont="1" applyBorder="1" applyAlignment="1">
      <alignment horizontal="center" vertical="center" wrapText="1"/>
    </xf>
    <xf numFmtId="0" fontId="42" fillId="0" borderId="0" xfId="35" applyNumberFormat="1" applyFont="1" applyFill="1" applyBorder="1" applyAlignment="1" applyProtection="1">
      <alignment horizontal="center"/>
    </xf>
    <xf numFmtId="0" fontId="42" fillId="0" borderId="0" xfId="35" applyNumberFormat="1" applyFont="1" applyFill="1" applyBorder="1" applyAlignment="1" applyProtection="1">
      <alignment horizontal="center" wrapText="1"/>
    </xf>
    <xf numFmtId="1" fontId="42" fillId="0" borderId="0" xfId="35" applyNumberFormat="1" applyFont="1" applyFill="1" applyBorder="1" applyAlignment="1" applyProtection="1">
      <alignment horizontal="center"/>
    </xf>
    <xf numFmtId="1" fontId="42" fillId="0" borderId="0" xfId="35" applyNumberFormat="1" applyFont="1" applyFill="1" applyBorder="1" applyAlignment="1" applyProtection="1">
      <alignment horizontal="left"/>
    </xf>
    <xf numFmtId="2" fontId="42" fillId="0" borderId="0" xfId="35" applyNumberFormat="1" applyFont="1" applyFill="1" applyBorder="1" applyAlignment="1" applyProtection="1">
      <alignment horizontal="center"/>
    </xf>
    <xf numFmtId="2" fontId="48" fillId="0" borderId="0" xfId="3" applyNumberFormat="1" applyFont="1" applyBorder="1" applyAlignment="1">
      <alignment horizontal="center" vertical="center"/>
    </xf>
    <xf numFmtId="0" fontId="42" fillId="0" borderId="0" xfId="35" applyNumberFormat="1" applyFont="1" applyFill="1" applyBorder="1" applyAlignment="1" applyProtection="1">
      <alignment horizontal="center" vertical="center"/>
    </xf>
    <xf numFmtId="14" fontId="45" fillId="0" borderId="0" xfId="35" applyNumberFormat="1" applyFont="1" applyFill="1" applyBorder="1" applyAlignment="1" applyProtection="1">
      <alignment horizontal="center" vertical="center"/>
    </xf>
    <xf numFmtId="2" fontId="48" fillId="0" borderId="0" xfId="3" applyNumberFormat="1" applyFont="1" applyFill="1" applyBorder="1" applyAlignment="1">
      <alignment horizontal="center" vertical="center"/>
    </xf>
    <xf numFmtId="0" fontId="39" fillId="0" borderId="0" xfId="35" applyNumberFormat="1" applyFont="1" applyFill="1" applyBorder="1" applyAlignment="1" applyProtection="1">
      <alignment horizontal="center" vertical="center"/>
    </xf>
    <xf numFmtId="0" fontId="45" fillId="0" borderId="0" xfId="35" applyNumberFormat="1" applyFont="1" applyFill="1" applyBorder="1" applyAlignment="1" applyProtection="1">
      <alignment vertical="center"/>
    </xf>
    <xf numFmtId="0" fontId="48" fillId="0" borderId="0" xfId="35" applyNumberFormat="1" applyFont="1" applyFill="1" applyBorder="1" applyAlignment="1" applyProtection="1">
      <alignment horizontal="right" wrapText="1"/>
    </xf>
    <xf numFmtId="0" fontId="48" fillId="0" borderId="0" xfId="35" applyNumberFormat="1" applyFont="1" applyFill="1" applyBorder="1" applyAlignment="1" applyProtection="1">
      <alignment horizontal="center"/>
    </xf>
    <xf numFmtId="2" fontId="48" fillId="0" borderId="0" xfId="35" applyNumberFormat="1" applyFont="1" applyFill="1" applyBorder="1" applyAlignment="1" applyProtection="1">
      <alignment horizontal="center"/>
    </xf>
    <xf numFmtId="0" fontId="49" fillId="0" borderId="0" xfId="35" applyNumberFormat="1" applyFont="1" applyFill="1" applyBorder="1" applyAlignment="1" applyProtection="1"/>
    <xf numFmtId="0" fontId="42" fillId="0" borderId="0" xfId="35" applyNumberFormat="1" applyFont="1" applyFill="1" applyBorder="1" applyAlignment="1" applyProtection="1"/>
    <xf numFmtId="164" fontId="42" fillId="0" borderId="0" xfId="35" applyNumberFormat="1" applyFont="1" applyFill="1" applyBorder="1" applyAlignment="1" applyProtection="1">
      <alignment horizontal="center" vertical="center"/>
    </xf>
    <xf numFmtId="2" fontId="42" fillId="0" borderId="0" xfId="35" applyNumberFormat="1" applyFont="1" applyFill="1" applyBorder="1" applyAlignment="1" applyProtection="1">
      <alignment horizontal="left" vertical="center"/>
    </xf>
    <xf numFmtId="0" fontId="41" fillId="0" borderId="0" xfId="0" applyFont="1" applyAlignment="1">
      <alignment vertical="center"/>
    </xf>
    <xf numFmtId="0" fontId="42" fillId="0" borderId="0" xfId="35" applyNumberFormat="1" applyFont="1" applyFill="1" applyBorder="1" applyAlignment="1" applyProtection="1">
      <alignment horizontal="center" vertical="center" wrapText="1"/>
    </xf>
    <xf numFmtId="164" fontId="42" fillId="0" borderId="0" xfId="35" applyNumberFormat="1" applyFont="1" applyFill="1" applyBorder="1" applyAlignment="1" applyProtection="1">
      <alignment horizontal="center" vertical="center" wrapText="1"/>
    </xf>
    <xf numFmtId="2" fontId="42" fillId="0" borderId="0" xfId="35" applyNumberFormat="1" applyFont="1" applyFill="1" applyBorder="1" applyAlignment="1" applyProtection="1">
      <alignment horizontal="left" vertical="center" wrapText="1"/>
    </xf>
    <xf numFmtId="2" fontId="42" fillId="0" borderId="0" xfId="35" applyNumberFormat="1" applyFont="1" applyFill="1" applyBorder="1" applyAlignment="1" applyProtection="1">
      <alignment horizontal="center" vertical="center" wrapText="1"/>
    </xf>
    <xf numFmtId="2" fontId="48" fillId="0" borderId="0" xfId="3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2" fontId="42" fillId="0" borderId="4" xfId="35" applyNumberFormat="1" applyFont="1" applyFill="1" applyBorder="1" applyAlignment="1" applyProtection="1">
      <alignment horizontal="left" vertical="center" wrapText="1"/>
    </xf>
    <xf numFmtId="2" fontId="42" fillId="0" borderId="4" xfId="35" applyNumberFormat="1" applyFont="1" applyFill="1" applyBorder="1" applyAlignment="1" applyProtection="1">
      <alignment horizontal="center" vertical="center"/>
    </xf>
    <xf numFmtId="2" fontId="48" fillId="0" borderId="4" xfId="3" applyNumberFormat="1" applyFont="1" applyBorder="1" applyAlignment="1">
      <alignment horizontal="center" vertical="center" wrapText="1"/>
    </xf>
    <xf numFmtId="2" fontId="42" fillId="0" borderId="9" xfId="35" applyNumberFormat="1" applyFont="1" applyFill="1" applyBorder="1" applyAlignment="1" applyProtection="1">
      <alignment horizontal="center" vertical="center"/>
    </xf>
    <xf numFmtId="0" fontId="42" fillId="0" borderId="0" xfId="35" applyNumberFormat="1" applyFont="1" applyFill="1" applyBorder="1" applyAlignment="1" applyProtection="1">
      <alignment horizontal="left" wrapText="1"/>
    </xf>
    <xf numFmtId="164" fontId="42" fillId="0" borderId="4" xfId="35" applyNumberFormat="1" applyFont="1" applyFill="1" applyBorder="1" applyAlignment="1" applyProtection="1">
      <alignment horizontal="center" vertical="center" wrapText="1"/>
    </xf>
    <xf numFmtId="0" fontId="42" fillId="0" borderId="0" xfId="35" applyNumberFormat="1" applyFont="1" applyFill="1" applyBorder="1" applyAlignment="1" applyProtection="1">
      <alignment horizontal="left" vertical="center" wrapText="1"/>
    </xf>
    <xf numFmtId="49" fontId="42" fillId="0" borderId="0" xfId="35" applyNumberFormat="1" applyFont="1" applyFill="1" applyBorder="1" applyAlignment="1" applyProtection="1">
      <alignment horizontal="center" vertical="center" wrapText="1"/>
    </xf>
    <xf numFmtId="0" fontId="42" fillId="0" borderId="0" xfId="35" applyNumberFormat="1" applyFont="1" applyFill="1" applyBorder="1" applyAlignment="1" applyProtection="1">
      <alignment vertical="center" wrapText="1"/>
    </xf>
    <xf numFmtId="0" fontId="48" fillId="0" borderId="0" xfId="35" applyNumberFormat="1" applyFont="1" applyBorder="1" applyAlignment="1" applyProtection="1">
      <alignment horizontal="center"/>
    </xf>
    <xf numFmtId="0" fontId="48" fillId="0" borderId="0" xfId="35" applyNumberFormat="1" applyFont="1" applyBorder="1" applyAlignment="1" applyProtection="1">
      <alignment horizontal="right" wrapText="1"/>
    </xf>
    <xf numFmtId="0" fontId="42" fillId="0" borderId="0" xfId="35" applyNumberFormat="1" applyFont="1" applyBorder="1" applyAlignment="1" applyProtection="1">
      <alignment horizontal="center"/>
    </xf>
    <xf numFmtId="0" fontId="48" fillId="0" borderId="0" xfId="35" applyNumberFormat="1" applyFont="1" applyBorder="1" applyAlignment="1" applyProtection="1">
      <alignment horizontal="center" wrapText="1"/>
    </xf>
    <xf numFmtId="0" fontId="43" fillId="0" borderId="0" xfId="35" applyNumberFormat="1" applyFont="1" applyBorder="1" applyAlignment="1" applyProtection="1">
      <alignment horizontal="right"/>
    </xf>
    <xf numFmtId="0" fontId="49" fillId="0" borderId="0" xfId="35" applyNumberFormat="1" applyFont="1" applyBorder="1" applyAlignment="1" applyProtection="1"/>
    <xf numFmtId="0" fontId="43" fillId="0" borderId="0" xfId="35" applyNumberFormat="1" applyFont="1" applyBorder="1" applyAlignment="1" applyProtection="1">
      <alignment horizontal="center"/>
    </xf>
    <xf numFmtId="0" fontId="42" fillId="0" borderId="0" xfId="35" applyNumberFormat="1" applyFont="1" applyBorder="1" applyAlignment="1" applyProtection="1">
      <alignment horizontal="right" vertical="center"/>
    </xf>
    <xf numFmtId="0" fontId="42" fillId="0" borderId="0" xfId="35" applyNumberFormat="1" applyFont="1" applyBorder="1" applyAlignment="1" applyProtection="1">
      <alignment vertical="center"/>
    </xf>
    <xf numFmtId="0" fontId="42" fillId="0" borderId="0" xfId="35" applyNumberFormat="1" applyFont="1" applyFill="1" applyBorder="1" applyAlignment="1" applyProtection="1">
      <alignment vertical="center"/>
    </xf>
    <xf numFmtId="2" fontId="34" fillId="0" borderId="1" xfId="0" applyNumberFormat="1" applyFont="1" applyFill="1" applyBorder="1" applyAlignment="1" applyProtection="1">
      <protection locked="0"/>
    </xf>
    <xf numFmtId="2" fontId="34" fillId="0" borderId="2" xfId="0" applyNumberFormat="1" applyFont="1" applyFill="1" applyBorder="1" applyAlignment="1" applyProtection="1">
      <protection locked="0"/>
    </xf>
    <xf numFmtId="2" fontId="34" fillId="0" borderId="3" xfId="0" applyNumberFormat="1" applyFont="1" applyFill="1" applyBorder="1" applyAlignment="1" applyProtection="1">
      <protection locked="0"/>
    </xf>
    <xf numFmtId="0" fontId="34" fillId="0" borderId="27" xfId="0" applyFont="1" applyFill="1" applyBorder="1" applyAlignment="1">
      <alignment vertical="center"/>
    </xf>
    <xf numFmtId="0" fontId="34" fillId="0" borderId="29" xfId="0" applyFont="1" applyFill="1" applyBorder="1" applyAlignment="1">
      <alignment vertical="center"/>
    </xf>
    <xf numFmtId="14" fontId="45" fillId="0" borderId="0" xfId="35" applyNumberFormat="1" applyFont="1" applyFill="1" applyBorder="1" applyAlignment="1" applyProtection="1">
      <alignment vertical="center"/>
    </xf>
    <xf numFmtId="0" fontId="34" fillId="0" borderId="39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0" fontId="34" fillId="0" borderId="20" xfId="0" applyFont="1" applyFill="1" applyBorder="1" applyAlignment="1">
      <alignment vertical="center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4" fontId="36" fillId="0" borderId="0" xfId="1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14" fontId="45" fillId="0" borderId="0" xfId="35" applyNumberFormat="1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 applyProtection="1">
      <alignment horizontal="center"/>
      <protection locked="0"/>
    </xf>
    <xf numFmtId="2" fontId="34" fillId="0" borderId="2" xfId="0" applyNumberFormat="1" applyFont="1" applyFill="1" applyBorder="1" applyAlignment="1" applyProtection="1">
      <alignment horizontal="center"/>
      <protection locked="0"/>
    </xf>
    <xf numFmtId="2" fontId="34" fillId="0" borderId="3" xfId="0" applyNumberFormat="1" applyFont="1" applyFill="1" applyBorder="1" applyAlignment="1" applyProtection="1">
      <alignment horizontal="center"/>
      <protection locked="0"/>
    </xf>
    <xf numFmtId="0" fontId="34" fillId="0" borderId="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</cellXfs>
  <cellStyles count="36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31" xfId="35"/>
    <cellStyle name="Обычный 2 4 3 2 4" xfId="7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9"/>
  <sheetViews>
    <sheetView view="pageBreakPreview" topLeftCell="V1" zoomScale="60" zoomScaleNormal="60" workbookViewId="0">
      <selection activeCell="AH3" sqref="AH3:AN21"/>
    </sheetView>
  </sheetViews>
  <sheetFormatPr defaultRowHeight="15" x14ac:dyDescent="0.25"/>
  <cols>
    <col min="1" max="2" width="15.7109375" customWidth="1"/>
    <col min="3" max="3" width="10.7109375" customWidth="1"/>
    <col min="4" max="4" width="45.7109375" customWidth="1"/>
    <col min="5" max="5" width="11" customWidth="1"/>
    <col min="6" max="6" width="10.7109375" customWidth="1"/>
    <col min="7" max="7" width="11" customWidth="1"/>
    <col min="8" max="9" width="10.7109375" customWidth="1"/>
    <col min="10" max="10" width="20.7109375" customWidth="1"/>
    <col min="11" max="12" width="15.7109375" customWidth="1"/>
    <col min="13" max="13" width="10.7109375" customWidth="1"/>
    <col min="14" max="14" width="45.7109375" customWidth="1"/>
    <col min="15" max="19" width="10.7109375" customWidth="1"/>
    <col min="20" max="20" width="20.7109375" customWidth="1"/>
    <col min="21" max="22" width="15.7109375" customWidth="1"/>
    <col min="23" max="23" width="10.7109375" customWidth="1"/>
    <col min="24" max="24" width="45.7109375" customWidth="1"/>
    <col min="25" max="29" width="10.7109375" customWidth="1"/>
    <col min="30" max="30" width="20.7109375" customWidth="1"/>
    <col min="31" max="32" width="15.7109375" customWidth="1"/>
    <col min="33" max="33" width="10.7109375" customWidth="1"/>
    <col min="34" max="34" width="45.7109375" customWidth="1"/>
    <col min="35" max="39" width="10.7109375" customWidth="1"/>
    <col min="40" max="40" width="20.7109375" customWidth="1"/>
  </cols>
  <sheetData>
    <row r="1" spans="1:40" s="1" customFormat="1" ht="24.95" customHeight="1" x14ac:dyDescent="0.3">
      <c r="A1" s="1" t="s">
        <v>0</v>
      </c>
      <c r="B1" s="295" t="s">
        <v>47</v>
      </c>
      <c r="C1" s="296"/>
      <c r="D1" s="296"/>
      <c r="E1" s="296"/>
      <c r="F1" s="297"/>
      <c r="G1" s="1" t="s">
        <v>1</v>
      </c>
      <c r="H1" s="2" t="s">
        <v>2</v>
      </c>
      <c r="I1" s="1" t="s">
        <v>3</v>
      </c>
      <c r="J1" s="3">
        <v>44484</v>
      </c>
      <c r="K1" s="1" t="s">
        <v>0</v>
      </c>
      <c r="L1" s="295" t="s">
        <v>47</v>
      </c>
      <c r="M1" s="296"/>
      <c r="N1" s="296"/>
      <c r="O1" s="296"/>
      <c r="P1" s="297"/>
      <c r="Q1" s="1" t="s">
        <v>1</v>
      </c>
      <c r="R1" s="2" t="s">
        <v>4</v>
      </c>
      <c r="S1" s="1" t="s">
        <v>3</v>
      </c>
      <c r="T1" s="3">
        <f>J1</f>
        <v>44484</v>
      </c>
      <c r="U1" s="1" t="s">
        <v>0</v>
      </c>
      <c r="V1" s="273" t="s">
        <v>5</v>
      </c>
      <c r="W1" s="274"/>
      <c r="X1" s="274"/>
      <c r="Y1" s="274"/>
      <c r="Z1" s="275"/>
      <c r="AA1" s="1" t="s">
        <v>1</v>
      </c>
      <c r="AB1" s="2" t="s">
        <v>2</v>
      </c>
      <c r="AC1" s="1" t="s">
        <v>3</v>
      </c>
      <c r="AD1" s="3">
        <f>T1</f>
        <v>44484</v>
      </c>
      <c r="AE1" s="1" t="s">
        <v>0</v>
      </c>
      <c r="AF1" s="81" t="s">
        <v>5</v>
      </c>
      <c r="AG1" s="82"/>
      <c r="AH1" s="82"/>
      <c r="AI1" s="82"/>
      <c r="AJ1" s="83"/>
      <c r="AK1" s="1" t="s">
        <v>1</v>
      </c>
      <c r="AL1" s="2" t="s">
        <v>4</v>
      </c>
      <c r="AM1" s="1" t="s">
        <v>3</v>
      </c>
      <c r="AN1" s="3">
        <f>AD1</f>
        <v>44484</v>
      </c>
    </row>
    <row r="2" spans="1:40" s="1" customFormat="1" ht="24.95" customHeight="1" thickBot="1" x14ac:dyDescent="0.35"/>
    <row r="3" spans="1:40" s="4" customFormat="1" ht="24.95" customHeight="1" thickBot="1" x14ac:dyDescent="0.3">
      <c r="A3" s="73" t="s">
        <v>6</v>
      </c>
      <c r="B3" s="74" t="s">
        <v>7</v>
      </c>
      <c r="C3" s="74" t="s">
        <v>48</v>
      </c>
      <c r="D3" s="74" t="s">
        <v>8</v>
      </c>
      <c r="E3" s="74" t="s">
        <v>9</v>
      </c>
      <c r="F3" s="74" t="s">
        <v>10</v>
      </c>
      <c r="G3" s="74" t="s">
        <v>11</v>
      </c>
      <c r="H3" s="74" t="s">
        <v>12</v>
      </c>
      <c r="I3" s="74" t="s">
        <v>13</v>
      </c>
      <c r="J3" s="39" t="s">
        <v>14</v>
      </c>
      <c r="K3" s="73" t="s">
        <v>6</v>
      </c>
      <c r="L3" s="74" t="s">
        <v>7</v>
      </c>
      <c r="M3" s="74" t="s">
        <v>48</v>
      </c>
      <c r="N3" s="74" t="s">
        <v>8</v>
      </c>
      <c r="O3" s="74" t="s">
        <v>9</v>
      </c>
      <c r="P3" s="74" t="s">
        <v>10</v>
      </c>
      <c r="Q3" s="74" t="s">
        <v>11</v>
      </c>
      <c r="R3" s="74" t="s">
        <v>12</v>
      </c>
      <c r="S3" s="74" t="s">
        <v>13</v>
      </c>
      <c r="T3" s="39" t="s">
        <v>14</v>
      </c>
      <c r="U3" s="73" t="s">
        <v>6</v>
      </c>
      <c r="V3" s="74" t="s">
        <v>7</v>
      </c>
      <c r="W3" s="74" t="s">
        <v>48</v>
      </c>
      <c r="X3" s="74" t="s">
        <v>8</v>
      </c>
      <c r="Y3" s="74" t="s">
        <v>9</v>
      </c>
      <c r="Z3" s="74" t="s">
        <v>10</v>
      </c>
      <c r="AA3" s="74" t="s">
        <v>11</v>
      </c>
      <c r="AB3" s="74" t="s">
        <v>12</v>
      </c>
      <c r="AC3" s="74" t="s">
        <v>13</v>
      </c>
      <c r="AD3" s="39" t="s">
        <v>14</v>
      </c>
      <c r="AE3" s="73" t="s">
        <v>6</v>
      </c>
      <c r="AF3" s="74" t="s">
        <v>7</v>
      </c>
      <c r="AG3" s="74" t="s">
        <v>48</v>
      </c>
      <c r="AH3" s="74" t="s">
        <v>8</v>
      </c>
      <c r="AI3" s="74" t="s">
        <v>9</v>
      </c>
      <c r="AJ3" s="74" t="s">
        <v>10</v>
      </c>
      <c r="AK3" s="74" t="s">
        <v>11</v>
      </c>
      <c r="AL3" s="74" t="s">
        <v>12</v>
      </c>
      <c r="AM3" s="74" t="s">
        <v>13</v>
      </c>
      <c r="AN3" s="39" t="s">
        <v>14</v>
      </c>
    </row>
    <row r="4" spans="1:40" s="4" customFormat="1" ht="39.75" customHeight="1" x14ac:dyDescent="0.25">
      <c r="A4" s="72" t="s">
        <v>15</v>
      </c>
      <c r="B4" s="40" t="s">
        <v>16</v>
      </c>
      <c r="C4" s="86">
        <v>25</v>
      </c>
      <c r="D4" s="5" t="s">
        <v>49</v>
      </c>
      <c r="E4" s="6" t="s">
        <v>17</v>
      </c>
      <c r="F4" s="7">
        <v>78</v>
      </c>
      <c r="G4" s="76">
        <f>13.1+0.47</f>
        <v>13.57</v>
      </c>
      <c r="H4" s="76">
        <f>10.9+4.11</f>
        <v>15.010000000000002</v>
      </c>
      <c r="I4" s="8">
        <f>37.86+6.42</f>
        <v>44.28</v>
      </c>
      <c r="J4" s="9">
        <f>287.7+66.26</f>
        <v>353.96</v>
      </c>
      <c r="K4" s="72" t="s">
        <v>15</v>
      </c>
      <c r="L4" s="40" t="s">
        <v>16</v>
      </c>
      <c r="M4" s="86">
        <v>15</v>
      </c>
      <c r="N4" s="5" t="s">
        <v>50</v>
      </c>
      <c r="O4" s="6" t="s">
        <v>51</v>
      </c>
      <c r="P4" s="7">
        <f>78+23.4</f>
        <v>101.4</v>
      </c>
      <c r="Q4" s="76">
        <f>13.1+0.47+0.53</f>
        <v>14.1</v>
      </c>
      <c r="R4" s="76">
        <f>10.9+4.11+2.05</f>
        <v>17.060000000000002</v>
      </c>
      <c r="S4" s="8">
        <f>37.86+6.42+5.39</f>
        <v>49.67</v>
      </c>
      <c r="T4" s="9">
        <f>287.7+66.26+41.33</f>
        <v>395.28999999999996</v>
      </c>
      <c r="U4" s="72" t="s">
        <v>15</v>
      </c>
      <c r="V4" s="40" t="s">
        <v>16</v>
      </c>
      <c r="W4" s="86">
        <v>27</v>
      </c>
      <c r="X4" s="5" t="s">
        <v>49</v>
      </c>
      <c r="Y4" s="6" t="s">
        <v>17</v>
      </c>
      <c r="Z4" s="7">
        <f>78-7.93</f>
        <v>70.069999999999993</v>
      </c>
      <c r="AA4" s="76">
        <f>13.1+0.47</f>
        <v>13.57</v>
      </c>
      <c r="AB4" s="76">
        <f>10.9+4.11</f>
        <v>15.010000000000002</v>
      </c>
      <c r="AC4" s="8">
        <f>37.86+6.42</f>
        <v>44.28</v>
      </c>
      <c r="AD4" s="9">
        <f>287.7+66.26</f>
        <v>353.96</v>
      </c>
      <c r="AE4" s="72" t="s">
        <v>15</v>
      </c>
      <c r="AF4" s="40" t="s">
        <v>16</v>
      </c>
      <c r="AG4" s="86">
        <v>70</v>
      </c>
      <c r="AH4" s="5" t="s">
        <v>50</v>
      </c>
      <c r="AI4" s="6" t="s">
        <v>51</v>
      </c>
      <c r="AJ4" s="7">
        <f>78+23.4-9.2</f>
        <v>92.2</v>
      </c>
      <c r="AK4" s="76">
        <f>13.1+0.47+0.53</f>
        <v>14.1</v>
      </c>
      <c r="AL4" s="76">
        <f>10.9+4.11+2.05</f>
        <v>17.060000000000002</v>
      </c>
      <c r="AM4" s="8">
        <f>37.86+6.42+5.39</f>
        <v>49.67</v>
      </c>
      <c r="AN4" s="9">
        <f>287.7+66.26+41.33</f>
        <v>395.28999999999996</v>
      </c>
    </row>
    <row r="5" spans="1:40" s="1" customFormat="1" ht="24.95" customHeight="1" x14ac:dyDescent="0.3">
      <c r="A5" s="70"/>
      <c r="B5" s="2" t="s">
        <v>18</v>
      </c>
      <c r="C5" s="87">
        <f>C4</f>
        <v>25</v>
      </c>
      <c r="D5" s="10" t="s">
        <v>52</v>
      </c>
      <c r="E5" s="11" t="s">
        <v>17</v>
      </c>
      <c r="F5" s="12">
        <v>8</v>
      </c>
      <c r="G5" s="15">
        <v>0</v>
      </c>
      <c r="H5" s="15">
        <v>0</v>
      </c>
      <c r="I5" s="15">
        <v>15</v>
      </c>
      <c r="J5" s="16">
        <v>60</v>
      </c>
      <c r="K5" s="70"/>
      <c r="L5" s="88" t="s">
        <v>18</v>
      </c>
      <c r="M5" s="89">
        <f>M4</f>
        <v>15</v>
      </c>
      <c r="N5" s="10" t="s">
        <v>52</v>
      </c>
      <c r="O5" s="11" t="s">
        <v>17</v>
      </c>
      <c r="P5" s="12">
        <v>8</v>
      </c>
      <c r="Q5" s="15">
        <v>0</v>
      </c>
      <c r="R5" s="15">
        <v>0</v>
      </c>
      <c r="S5" s="15">
        <v>15</v>
      </c>
      <c r="T5" s="16">
        <v>60</v>
      </c>
      <c r="U5" s="70"/>
      <c r="V5" s="2" t="s">
        <v>18</v>
      </c>
      <c r="W5" s="87">
        <f>W4</f>
        <v>27</v>
      </c>
      <c r="X5" s="10" t="s">
        <v>52</v>
      </c>
      <c r="Y5" s="11" t="s">
        <v>17</v>
      </c>
      <c r="Z5" s="12">
        <v>8</v>
      </c>
      <c r="AA5" s="15">
        <v>0</v>
      </c>
      <c r="AB5" s="15">
        <v>0</v>
      </c>
      <c r="AC5" s="15">
        <v>15</v>
      </c>
      <c r="AD5" s="16">
        <v>60</v>
      </c>
      <c r="AE5" s="70"/>
      <c r="AF5" s="88" t="s">
        <v>18</v>
      </c>
      <c r="AG5" s="89">
        <f>AG4</f>
        <v>70</v>
      </c>
      <c r="AH5" s="10" t="s">
        <v>52</v>
      </c>
      <c r="AI5" s="11" t="s">
        <v>17</v>
      </c>
      <c r="AJ5" s="12">
        <v>8</v>
      </c>
      <c r="AK5" s="15">
        <v>0</v>
      </c>
      <c r="AL5" s="15">
        <v>0</v>
      </c>
      <c r="AM5" s="15">
        <v>15</v>
      </c>
      <c r="AN5" s="16">
        <v>60</v>
      </c>
    </row>
    <row r="6" spans="1:40" s="1" customFormat="1" ht="24.95" customHeight="1" x14ac:dyDescent="0.3">
      <c r="A6" s="70"/>
      <c r="B6" s="2" t="s">
        <v>19</v>
      </c>
      <c r="C6" s="87">
        <f t="shared" ref="C6" si="0">C5</f>
        <v>25</v>
      </c>
      <c r="D6" s="10" t="s">
        <v>20</v>
      </c>
      <c r="E6" s="11" t="s">
        <v>21</v>
      </c>
      <c r="F6" s="12">
        <v>9.1999999999999993</v>
      </c>
      <c r="G6" s="15">
        <f>4/5*3</f>
        <v>2.4000000000000004</v>
      </c>
      <c r="H6" s="15">
        <f>0.5/5*3</f>
        <v>0.30000000000000004</v>
      </c>
      <c r="I6" s="15">
        <f>24.55/5*3</f>
        <v>14.73</v>
      </c>
      <c r="J6" s="16">
        <f>119/5*3</f>
        <v>71.400000000000006</v>
      </c>
      <c r="K6" s="70"/>
      <c r="L6" s="2" t="s">
        <v>19</v>
      </c>
      <c r="M6" s="87">
        <f t="shared" ref="M6" si="1">M5</f>
        <v>15</v>
      </c>
      <c r="N6" s="10" t="s">
        <v>20</v>
      </c>
      <c r="O6" s="11" t="s">
        <v>21</v>
      </c>
      <c r="P6" s="12">
        <v>9.1999999999999993</v>
      </c>
      <c r="Q6" s="15">
        <f>4/5*3</f>
        <v>2.4000000000000004</v>
      </c>
      <c r="R6" s="15">
        <f>0.5/5*3</f>
        <v>0.30000000000000004</v>
      </c>
      <c r="S6" s="15">
        <f>24.55/5*3</f>
        <v>14.73</v>
      </c>
      <c r="T6" s="16">
        <f>119/5*3</f>
        <v>71.400000000000006</v>
      </c>
      <c r="U6" s="70"/>
      <c r="V6" s="2" t="s">
        <v>19</v>
      </c>
      <c r="W6" s="87">
        <f t="shared" ref="W6" si="2">W5</f>
        <v>27</v>
      </c>
      <c r="X6" s="10" t="s">
        <v>20</v>
      </c>
      <c r="Y6" s="11" t="s">
        <v>21</v>
      </c>
      <c r="Z6" s="12">
        <v>9.1999999999999993</v>
      </c>
      <c r="AA6" s="15">
        <f>4/5*3</f>
        <v>2.4000000000000004</v>
      </c>
      <c r="AB6" s="15">
        <f>0.5/5*3</f>
        <v>0.30000000000000004</v>
      </c>
      <c r="AC6" s="15">
        <f>24.55/5*3</f>
        <v>14.73</v>
      </c>
      <c r="AD6" s="16">
        <f>119/5*3</f>
        <v>71.400000000000006</v>
      </c>
      <c r="AE6" s="70"/>
      <c r="AF6" s="2" t="s">
        <v>19</v>
      </c>
      <c r="AG6" s="87">
        <f t="shared" ref="AG6" si="3">AG5</f>
        <v>70</v>
      </c>
      <c r="AH6" s="10" t="s">
        <v>20</v>
      </c>
      <c r="AI6" s="11" t="s">
        <v>21</v>
      </c>
      <c r="AJ6" s="12">
        <v>9.1999999999999993</v>
      </c>
      <c r="AK6" s="15">
        <f>4/5*3</f>
        <v>2.4000000000000004</v>
      </c>
      <c r="AL6" s="15">
        <f>0.5/5*3</f>
        <v>0.30000000000000004</v>
      </c>
      <c r="AM6" s="15">
        <f>24.55/5*3</f>
        <v>14.73</v>
      </c>
      <c r="AN6" s="16">
        <f>119/5*3</f>
        <v>71.400000000000006</v>
      </c>
    </row>
    <row r="7" spans="1:40" s="1" customFormat="1" ht="24.95" customHeight="1" x14ac:dyDescent="0.3">
      <c r="A7" s="70"/>
      <c r="B7" s="59" t="s">
        <v>38</v>
      </c>
      <c r="C7" s="87">
        <f>C6</f>
        <v>25</v>
      </c>
      <c r="D7" s="10" t="s">
        <v>53</v>
      </c>
      <c r="E7" s="11" t="s">
        <v>33</v>
      </c>
      <c r="F7" s="12">
        <v>20</v>
      </c>
      <c r="G7" s="15">
        <v>5.0999999999999996</v>
      </c>
      <c r="H7" s="15">
        <v>4.5999999999999996</v>
      </c>
      <c r="I7" s="15">
        <v>0.3</v>
      </c>
      <c r="J7" s="16">
        <v>63</v>
      </c>
      <c r="K7" s="70"/>
      <c r="L7" s="59" t="s">
        <v>54</v>
      </c>
      <c r="M7" s="87">
        <f>M6</f>
        <v>15</v>
      </c>
      <c r="N7" s="10" t="s">
        <v>53</v>
      </c>
      <c r="O7" s="11" t="s">
        <v>33</v>
      </c>
      <c r="P7" s="12">
        <v>20</v>
      </c>
      <c r="Q7" s="15">
        <v>5.0999999999999996</v>
      </c>
      <c r="R7" s="15">
        <v>4.5999999999999996</v>
      </c>
      <c r="S7" s="15">
        <v>0.3</v>
      </c>
      <c r="T7" s="16">
        <v>63</v>
      </c>
      <c r="U7" s="70"/>
      <c r="V7" s="59" t="s">
        <v>38</v>
      </c>
      <c r="W7" s="87">
        <f>W6</f>
        <v>27</v>
      </c>
      <c r="X7" s="10" t="s">
        <v>53</v>
      </c>
      <c r="Y7" s="11" t="s">
        <v>33</v>
      </c>
      <c r="Z7" s="12">
        <v>20</v>
      </c>
      <c r="AA7" s="15">
        <v>5.0999999999999996</v>
      </c>
      <c r="AB7" s="15">
        <v>4.5999999999999996</v>
      </c>
      <c r="AC7" s="15">
        <v>0.3</v>
      </c>
      <c r="AD7" s="16">
        <v>63</v>
      </c>
      <c r="AE7" s="70"/>
      <c r="AF7" s="59" t="s">
        <v>54</v>
      </c>
      <c r="AG7" s="87">
        <f>AG6</f>
        <v>70</v>
      </c>
      <c r="AH7" s="10" t="s">
        <v>53</v>
      </c>
      <c r="AI7" s="11" t="s">
        <v>33</v>
      </c>
      <c r="AJ7" s="12">
        <v>20</v>
      </c>
      <c r="AK7" s="15">
        <v>5.0999999999999996</v>
      </c>
      <c r="AL7" s="15">
        <v>4.5999999999999996</v>
      </c>
      <c r="AM7" s="15">
        <v>0.3</v>
      </c>
      <c r="AN7" s="16">
        <v>63</v>
      </c>
    </row>
    <row r="8" spans="1:40" s="1" customFormat="1" ht="24.95" customHeight="1" thickBot="1" x14ac:dyDescent="0.35">
      <c r="A8" s="71"/>
      <c r="B8" s="17"/>
      <c r="C8" s="90"/>
      <c r="D8" s="18"/>
      <c r="E8" s="19"/>
      <c r="F8" s="20"/>
      <c r="G8" s="21"/>
      <c r="H8" s="21"/>
      <c r="I8" s="21"/>
      <c r="J8" s="22"/>
      <c r="K8" s="71"/>
      <c r="L8" s="17"/>
      <c r="M8" s="90"/>
      <c r="N8" s="18"/>
      <c r="O8" s="19"/>
      <c r="P8" s="20"/>
      <c r="Q8" s="21"/>
      <c r="R8" s="21"/>
      <c r="S8" s="21"/>
      <c r="T8" s="22"/>
      <c r="U8" s="71"/>
      <c r="V8" s="17"/>
      <c r="W8" s="90"/>
      <c r="X8" s="18"/>
      <c r="Y8" s="19"/>
      <c r="Z8" s="20"/>
      <c r="AA8" s="21"/>
      <c r="AB8" s="21"/>
      <c r="AC8" s="21"/>
      <c r="AD8" s="22"/>
      <c r="AE8" s="71"/>
      <c r="AF8" s="17"/>
      <c r="AG8" s="90"/>
      <c r="AH8" s="18"/>
      <c r="AI8" s="19"/>
      <c r="AJ8" s="20"/>
      <c r="AK8" s="21"/>
      <c r="AL8" s="21"/>
      <c r="AM8" s="21"/>
      <c r="AN8" s="22"/>
    </row>
    <row r="9" spans="1:40" s="23" customFormat="1" ht="24.95" customHeight="1" thickBot="1" x14ac:dyDescent="0.3">
      <c r="A9" s="298" t="s">
        <v>22</v>
      </c>
      <c r="B9" s="299"/>
      <c r="C9" s="300"/>
      <c r="D9" s="41"/>
      <c r="E9" s="42"/>
      <c r="F9" s="43">
        <f>SUM(F4:F8)</f>
        <v>115.2</v>
      </c>
      <c r="G9" s="44">
        <f>SUM(G4:G8)</f>
        <v>21.07</v>
      </c>
      <c r="H9" s="44">
        <f t="shared" ref="H9:J9" si="4">SUM(H4:H8)</f>
        <v>19.910000000000004</v>
      </c>
      <c r="I9" s="44">
        <f t="shared" si="4"/>
        <v>74.31</v>
      </c>
      <c r="J9" s="45">
        <f t="shared" si="4"/>
        <v>548.36</v>
      </c>
      <c r="K9" s="298" t="s">
        <v>22</v>
      </c>
      <c r="L9" s="299"/>
      <c r="M9" s="300"/>
      <c r="N9" s="41"/>
      <c r="O9" s="42"/>
      <c r="P9" s="43">
        <f>SUM(P4:P8)</f>
        <v>138.60000000000002</v>
      </c>
      <c r="Q9" s="44">
        <f>SUM(Q4:Q8)</f>
        <v>21.6</v>
      </c>
      <c r="R9" s="44">
        <f t="shared" ref="R9:T9" si="5">SUM(R4:R8)</f>
        <v>21.96</v>
      </c>
      <c r="S9" s="44">
        <f t="shared" si="5"/>
        <v>79.7</v>
      </c>
      <c r="T9" s="45">
        <f t="shared" si="5"/>
        <v>589.68999999999994</v>
      </c>
      <c r="U9" s="67" t="s">
        <v>22</v>
      </c>
      <c r="V9" s="68"/>
      <c r="W9" s="276"/>
      <c r="X9" s="41"/>
      <c r="Y9" s="42"/>
      <c r="Z9" s="43">
        <f>SUM(Z4:Z8)</f>
        <v>107.27</v>
      </c>
      <c r="AA9" s="44">
        <f>SUM(AA4:AA8)</f>
        <v>21.07</v>
      </c>
      <c r="AB9" s="44">
        <f t="shared" ref="AB9:AD9" si="6">SUM(AB4:AB8)</f>
        <v>19.910000000000004</v>
      </c>
      <c r="AC9" s="44">
        <f t="shared" si="6"/>
        <v>74.31</v>
      </c>
      <c r="AD9" s="45">
        <f t="shared" si="6"/>
        <v>548.36</v>
      </c>
      <c r="AE9" s="67" t="s">
        <v>22</v>
      </c>
      <c r="AF9" s="68"/>
      <c r="AG9" s="276"/>
      <c r="AH9" s="41"/>
      <c r="AI9" s="42"/>
      <c r="AJ9" s="43">
        <f>SUM(AJ4:AJ8)</f>
        <v>129.4</v>
      </c>
      <c r="AK9" s="44">
        <f>SUM(AK4:AK8)</f>
        <v>21.6</v>
      </c>
      <c r="AL9" s="44">
        <f t="shared" ref="AL9:AN9" si="7">SUM(AL4:AL8)</f>
        <v>21.96</v>
      </c>
      <c r="AM9" s="44">
        <f t="shared" si="7"/>
        <v>79.7</v>
      </c>
      <c r="AN9" s="45">
        <f t="shared" si="7"/>
        <v>589.68999999999994</v>
      </c>
    </row>
    <row r="10" spans="1:40" s="4" customFormat="1" ht="24.95" customHeight="1" x14ac:dyDescent="0.25">
      <c r="A10" s="47" t="s">
        <v>23</v>
      </c>
      <c r="B10" s="40" t="s">
        <v>24</v>
      </c>
      <c r="C10" s="91">
        <v>25</v>
      </c>
      <c r="D10" s="5" t="s">
        <v>55</v>
      </c>
      <c r="E10" s="6" t="s">
        <v>43</v>
      </c>
      <c r="F10" s="7">
        <v>15</v>
      </c>
      <c r="G10" s="8">
        <f>2/2</f>
        <v>1</v>
      </c>
      <c r="H10" s="8">
        <f>2.2/2</f>
        <v>1.1000000000000001</v>
      </c>
      <c r="I10" s="8">
        <f>9/2</f>
        <v>4.5</v>
      </c>
      <c r="J10" s="9">
        <f>64.5/2</f>
        <v>32.25</v>
      </c>
      <c r="K10" s="47" t="s">
        <v>23</v>
      </c>
      <c r="L10" s="40" t="s">
        <v>24</v>
      </c>
      <c r="M10" s="91">
        <v>52</v>
      </c>
      <c r="N10" s="5" t="s">
        <v>55</v>
      </c>
      <c r="O10" s="6" t="s">
        <v>43</v>
      </c>
      <c r="P10" s="7">
        <v>15</v>
      </c>
      <c r="Q10" s="8">
        <f>2/2</f>
        <v>1</v>
      </c>
      <c r="R10" s="8">
        <f>2.2/2</f>
        <v>1.1000000000000001</v>
      </c>
      <c r="S10" s="8">
        <f>9/2</f>
        <v>4.5</v>
      </c>
      <c r="T10" s="9">
        <f>64.5/2</f>
        <v>32.25</v>
      </c>
      <c r="U10" s="47" t="s">
        <v>23</v>
      </c>
      <c r="V10" s="40" t="s">
        <v>24</v>
      </c>
      <c r="W10" s="91">
        <v>27</v>
      </c>
      <c r="X10" s="5" t="s">
        <v>55</v>
      </c>
      <c r="Y10" s="6" t="s">
        <v>43</v>
      </c>
      <c r="Z10" s="7">
        <v>15</v>
      </c>
      <c r="AA10" s="8">
        <f>2/2</f>
        <v>1</v>
      </c>
      <c r="AB10" s="8">
        <f>2.2/2</f>
        <v>1.1000000000000001</v>
      </c>
      <c r="AC10" s="8">
        <f>9/2</f>
        <v>4.5</v>
      </c>
      <c r="AD10" s="9">
        <f>64.5/2</f>
        <v>32.25</v>
      </c>
      <c r="AE10" s="47" t="s">
        <v>23</v>
      </c>
      <c r="AF10" s="40" t="s">
        <v>24</v>
      </c>
      <c r="AG10" s="91">
        <v>78</v>
      </c>
      <c r="AH10" s="5" t="s">
        <v>55</v>
      </c>
      <c r="AI10" s="6" t="s">
        <v>43</v>
      </c>
      <c r="AJ10" s="7">
        <v>15</v>
      </c>
      <c r="AK10" s="8">
        <f>2/2</f>
        <v>1</v>
      </c>
      <c r="AL10" s="8">
        <f>2.2/2</f>
        <v>1.1000000000000001</v>
      </c>
      <c r="AM10" s="8">
        <f>9/2</f>
        <v>4.5</v>
      </c>
      <c r="AN10" s="9">
        <f>64.5/2</f>
        <v>32.25</v>
      </c>
    </row>
    <row r="11" spans="1:40" s="4" customFormat="1" ht="39.75" customHeight="1" x14ac:dyDescent="0.25">
      <c r="A11" s="60"/>
      <c r="B11" s="48" t="s">
        <v>25</v>
      </c>
      <c r="C11" s="92">
        <f t="shared" ref="C11:C15" si="8">C10</f>
        <v>25</v>
      </c>
      <c r="D11" s="10" t="s">
        <v>56</v>
      </c>
      <c r="E11" s="11" t="s">
        <v>39</v>
      </c>
      <c r="F11" s="12">
        <v>75</v>
      </c>
      <c r="G11" s="15">
        <v>3.5</v>
      </c>
      <c r="H11" s="15">
        <v>4.5</v>
      </c>
      <c r="I11" s="15">
        <v>14.75</v>
      </c>
      <c r="J11" s="16">
        <v>112.5</v>
      </c>
      <c r="K11" s="60"/>
      <c r="L11" s="48" t="s">
        <v>25</v>
      </c>
      <c r="M11" s="92">
        <f t="shared" ref="M11:M15" si="9">M10</f>
        <v>52</v>
      </c>
      <c r="N11" s="10" t="s">
        <v>56</v>
      </c>
      <c r="O11" s="11" t="s">
        <v>40</v>
      </c>
      <c r="P11" s="12">
        <f>70</f>
        <v>70</v>
      </c>
      <c r="Q11" s="15">
        <v>3.5</v>
      </c>
      <c r="R11" s="15">
        <v>4.5</v>
      </c>
      <c r="S11" s="15">
        <v>14.75</v>
      </c>
      <c r="T11" s="16">
        <v>112.5</v>
      </c>
      <c r="U11" s="60"/>
      <c r="V11" s="48" t="s">
        <v>25</v>
      </c>
      <c r="W11" s="92">
        <f t="shared" ref="W11:W15" si="10">W10</f>
        <v>27</v>
      </c>
      <c r="X11" s="10" t="s">
        <v>56</v>
      </c>
      <c r="Y11" s="11" t="s">
        <v>39</v>
      </c>
      <c r="Z11" s="12">
        <v>70</v>
      </c>
      <c r="AA11" s="15">
        <v>3.5</v>
      </c>
      <c r="AB11" s="15">
        <v>4.5</v>
      </c>
      <c r="AC11" s="15">
        <v>14.75</v>
      </c>
      <c r="AD11" s="16">
        <v>112.5</v>
      </c>
      <c r="AE11" s="60"/>
      <c r="AF11" s="48" t="s">
        <v>25</v>
      </c>
      <c r="AG11" s="92">
        <f t="shared" ref="AG11:AG15" si="11">AG10</f>
        <v>78</v>
      </c>
      <c r="AH11" s="10" t="s">
        <v>56</v>
      </c>
      <c r="AI11" s="11" t="s">
        <v>40</v>
      </c>
      <c r="AJ11" s="12">
        <v>65</v>
      </c>
      <c r="AK11" s="15">
        <v>3.5</v>
      </c>
      <c r="AL11" s="15">
        <v>4.5</v>
      </c>
      <c r="AM11" s="15">
        <v>14.75</v>
      </c>
      <c r="AN11" s="16">
        <v>112.5</v>
      </c>
    </row>
    <row r="12" spans="1:40" s="1" customFormat="1" ht="24.95" customHeight="1" x14ac:dyDescent="0.3">
      <c r="A12" s="49"/>
      <c r="B12" s="2" t="s">
        <v>26</v>
      </c>
      <c r="C12" s="87">
        <f t="shared" si="8"/>
        <v>25</v>
      </c>
      <c r="D12" s="10" t="s">
        <v>57</v>
      </c>
      <c r="E12" s="11" t="s">
        <v>17</v>
      </c>
      <c r="F12" s="12">
        <f>85-0.4</f>
        <v>84.6</v>
      </c>
      <c r="G12" s="15">
        <f>12.77/25*20</f>
        <v>10.216000000000001</v>
      </c>
      <c r="H12" s="15">
        <f>17.86/25*20</f>
        <v>14.287999999999998</v>
      </c>
      <c r="I12" s="15">
        <f>19.5/25*20</f>
        <v>15.600000000000001</v>
      </c>
      <c r="J12" s="16">
        <f>291.49/25*20</f>
        <v>233.19200000000001</v>
      </c>
      <c r="K12" s="49"/>
      <c r="L12" s="2" t="s">
        <v>26</v>
      </c>
      <c r="M12" s="87">
        <f t="shared" si="9"/>
        <v>52</v>
      </c>
      <c r="N12" s="10" t="s">
        <v>57</v>
      </c>
      <c r="O12" s="11" t="s">
        <v>58</v>
      </c>
      <c r="P12" s="12">
        <f>80/20*25+2.2</f>
        <v>102.2</v>
      </c>
      <c r="Q12" s="15">
        <f>12.77</f>
        <v>12.77</v>
      </c>
      <c r="R12" s="15">
        <f>17.86</f>
        <v>17.86</v>
      </c>
      <c r="S12" s="15">
        <f>19.5</f>
        <v>19.5</v>
      </c>
      <c r="T12" s="16">
        <f>291.49</f>
        <v>291.49</v>
      </c>
      <c r="U12" s="49"/>
      <c r="V12" s="2" t="s">
        <v>26</v>
      </c>
      <c r="W12" s="87">
        <f t="shared" si="10"/>
        <v>27</v>
      </c>
      <c r="X12" s="10" t="s">
        <v>57</v>
      </c>
      <c r="Y12" s="11" t="s">
        <v>17</v>
      </c>
      <c r="Z12" s="12">
        <f>80-3.13</f>
        <v>76.87</v>
      </c>
      <c r="AA12" s="15">
        <f>12.77/25*20</f>
        <v>10.216000000000001</v>
      </c>
      <c r="AB12" s="15">
        <f>17.86/25*20</f>
        <v>14.287999999999998</v>
      </c>
      <c r="AC12" s="15">
        <f>19.5/25*20</f>
        <v>15.600000000000001</v>
      </c>
      <c r="AD12" s="16">
        <f>291.49/25*20</f>
        <v>233.19200000000001</v>
      </c>
      <c r="AE12" s="49"/>
      <c r="AF12" s="2" t="s">
        <v>26</v>
      </c>
      <c r="AG12" s="87">
        <f t="shared" si="11"/>
        <v>78</v>
      </c>
      <c r="AH12" s="10" t="s">
        <v>57</v>
      </c>
      <c r="AI12" s="11" t="s">
        <v>58</v>
      </c>
      <c r="AJ12" s="12">
        <f>71.87/20*25+3.89</f>
        <v>93.727500000000006</v>
      </c>
      <c r="AK12" s="15">
        <f>12.77</f>
        <v>12.77</v>
      </c>
      <c r="AL12" s="15">
        <f>17.86</f>
        <v>17.86</v>
      </c>
      <c r="AM12" s="15">
        <f>19.5</f>
        <v>19.5</v>
      </c>
      <c r="AN12" s="16">
        <f>291.49</f>
        <v>291.49</v>
      </c>
    </row>
    <row r="13" spans="1:40" s="1" customFormat="1" ht="24.95" customHeight="1" x14ac:dyDescent="0.3">
      <c r="A13" s="49"/>
      <c r="B13" s="2" t="s">
        <v>18</v>
      </c>
      <c r="C13" s="93">
        <f t="shared" si="8"/>
        <v>25</v>
      </c>
      <c r="D13" s="10" t="s">
        <v>46</v>
      </c>
      <c r="E13" s="11" t="s">
        <v>17</v>
      </c>
      <c r="F13" s="12">
        <v>24</v>
      </c>
      <c r="G13" s="15">
        <v>0.55000000000000004</v>
      </c>
      <c r="H13" s="15">
        <v>0.08</v>
      </c>
      <c r="I13" s="15">
        <v>20.3</v>
      </c>
      <c r="J13" s="16">
        <v>85.23</v>
      </c>
      <c r="K13" s="49"/>
      <c r="L13" s="2" t="s">
        <v>18</v>
      </c>
      <c r="M13" s="93">
        <f t="shared" si="9"/>
        <v>52</v>
      </c>
      <c r="N13" s="10" t="s">
        <v>46</v>
      </c>
      <c r="O13" s="11" t="s">
        <v>17</v>
      </c>
      <c r="P13" s="12">
        <v>24</v>
      </c>
      <c r="Q13" s="15">
        <v>0.55000000000000004</v>
      </c>
      <c r="R13" s="15">
        <v>0.08</v>
      </c>
      <c r="S13" s="15">
        <v>20.3</v>
      </c>
      <c r="T13" s="16">
        <v>85.23</v>
      </c>
      <c r="U13" s="49"/>
      <c r="V13" s="2" t="s">
        <v>18</v>
      </c>
      <c r="W13" s="93">
        <f t="shared" si="10"/>
        <v>27</v>
      </c>
      <c r="X13" s="10" t="s">
        <v>46</v>
      </c>
      <c r="Y13" s="11" t="s">
        <v>17</v>
      </c>
      <c r="Z13" s="12">
        <v>24</v>
      </c>
      <c r="AA13" s="15">
        <v>0.55000000000000004</v>
      </c>
      <c r="AB13" s="15">
        <v>0.08</v>
      </c>
      <c r="AC13" s="15">
        <v>20.3</v>
      </c>
      <c r="AD13" s="16">
        <v>85.23</v>
      </c>
      <c r="AE13" s="49"/>
      <c r="AF13" s="2" t="s">
        <v>18</v>
      </c>
      <c r="AG13" s="93">
        <f t="shared" si="11"/>
        <v>78</v>
      </c>
      <c r="AH13" s="10" t="s">
        <v>46</v>
      </c>
      <c r="AI13" s="11" t="s">
        <v>17</v>
      </c>
      <c r="AJ13" s="12">
        <v>24</v>
      </c>
      <c r="AK13" s="15">
        <v>0.55000000000000004</v>
      </c>
      <c r="AL13" s="15">
        <v>0.08</v>
      </c>
      <c r="AM13" s="15">
        <v>20.3</v>
      </c>
      <c r="AN13" s="16">
        <v>85.23</v>
      </c>
    </row>
    <row r="14" spans="1:40" s="1" customFormat="1" ht="24.95" customHeight="1" x14ac:dyDescent="0.3">
      <c r="A14" s="49"/>
      <c r="B14" s="2" t="s">
        <v>27</v>
      </c>
      <c r="C14" s="93">
        <f t="shared" si="8"/>
        <v>25</v>
      </c>
      <c r="D14" s="10" t="s">
        <v>28</v>
      </c>
      <c r="E14" s="11" t="s">
        <v>29</v>
      </c>
      <c r="F14" s="12">
        <v>6</v>
      </c>
      <c r="G14" s="13">
        <f>4/5*3</f>
        <v>2.4000000000000004</v>
      </c>
      <c r="H14" s="13">
        <f>0.75/5*3</f>
        <v>0.44999999999999996</v>
      </c>
      <c r="I14" s="13">
        <f>20.05/5*3</f>
        <v>12.03</v>
      </c>
      <c r="J14" s="14">
        <f>104/5*3</f>
        <v>62.400000000000006</v>
      </c>
      <c r="K14" s="49"/>
      <c r="L14" s="2" t="s">
        <v>27</v>
      </c>
      <c r="M14" s="93">
        <f t="shared" si="9"/>
        <v>52</v>
      </c>
      <c r="N14" s="10" t="s">
        <v>28</v>
      </c>
      <c r="O14" s="11" t="s">
        <v>29</v>
      </c>
      <c r="P14" s="12">
        <v>6</v>
      </c>
      <c r="Q14" s="13">
        <f>4/5*3</f>
        <v>2.4000000000000004</v>
      </c>
      <c r="R14" s="13">
        <f>0.75/5*3</f>
        <v>0.44999999999999996</v>
      </c>
      <c r="S14" s="13">
        <f>20.05/5*3</f>
        <v>12.03</v>
      </c>
      <c r="T14" s="14">
        <f>104/5*3</f>
        <v>62.400000000000006</v>
      </c>
      <c r="U14" s="49"/>
      <c r="V14" s="2" t="s">
        <v>27</v>
      </c>
      <c r="W14" s="93">
        <f t="shared" si="10"/>
        <v>27</v>
      </c>
      <c r="X14" s="10" t="s">
        <v>28</v>
      </c>
      <c r="Y14" s="11" t="s">
        <v>29</v>
      </c>
      <c r="Z14" s="12">
        <v>6</v>
      </c>
      <c r="AA14" s="13">
        <f>4/5*3</f>
        <v>2.4000000000000004</v>
      </c>
      <c r="AB14" s="13">
        <f>0.75/5*3</f>
        <v>0.44999999999999996</v>
      </c>
      <c r="AC14" s="13">
        <f>20.05/5*3</f>
        <v>12.03</v>
      </c>
      <c r="AD14" s="14">
        <f>104/5*3</f>
        <v>62.400000000000006</v>
      </c>
      <c r="AE14" s="49"/>
      <c r="AF14" s="2" t="s">
        <v>27</v>
      </c>
      <c r="AG14" s="93">
        <f t="shared" si="11"/>
        <v>78</v>
      </c>
      <c r="AH14" s="10" t="s">
        <v>28</v>
      </c>
      <c r="AI14" s="11" t="s">
        <v>29</v>
      </c>
      <c r="AJ14" s="12">
        <v>6</v>
      </c>
      <c r="AK14" s="13">
        <f>4/5*3</f>
        <v>2.4000000000000004</v>
      </c>
      <c r="AL14" s="13">
        <f>0.75/5*3</f>
        <v>0.44999999999999996</v>
      </c>
      <c r="AM14" s="13">
        <f>20.05/5*3</f>
        <v>12.03</v>
      </c>
      <c r="AN14" s="14">
        <f>104/5*3</f>
        <v>62.400000000000006</v>
      </c>
    </row>
    <row r="15" spans="1:40" s="1" customFormat="1" ht="24.95" customHeight="1" x14ac:dyDescent="0.3">
      <c r="A15" s="49"/>
      <c r="B15" s="2" t="s">
        <v>30</v>
      </c>
      <c r="C15" s="93">
        <f t="shared" si="8"/>
        <v>25</v>
      </c>
      <c r="D15" s="10" t="s">
        <v>31</v>
      </c>
      <c r="E15" s="11" t="s">
        <v>29</v>
      </c>
      <c r="F15" s="12">
        <v>6</v>
      </c>
      <c r="G15" s="13">
        <f>3.4/5*3</f>
        <v>2.04</v>
      </c>
      <c r="H15" s="13">
        <f>0.65/5*3</f>
        <v>0.39</v>
      </c>
      <c r="I15" s="13">
        <f>19.9/5*3</f>
        <v>11.939999999999998</v>
      </c>
      <c r="J15" s="14">
        <f>100.5/5*3</f>
        <v>60.300000000000004</v>
      </c>
      <c r="K15" s="49"/>
      <c r="L15" s="2" t="s">
        <v>30</v>
      </c>
      <c r="M15" s="93">
        <f t="shared" si="9"/>
        <v>52</v>
      </c>
      <c r="N15" s="10" t="s">
        <v>31</v>
      </c>
      <c r="O15" s="11" t="s">
        <v>29</v>
      </c>
      <c r="P15" s="12">
        <v>6</v>
      </c>
      <c r="Q15" s="13">
        <f>3.4/5*3</f>
        <v>2.04</v>
      </c>
      <c r="R15" s="13">
        <f>0.65/5*3</f>
        <v>0.39</v>
      </c>
      <c r="S15" s="13">
        <f>19.9/5*3</f>
        <v>11.939999999999998</v>
      </c>
      <c r="T15" s="14">
        <f>100.5/5*3</f>
        <v>60.300000000000004</v>
      </c>
      <c r="U15" s="49"/>
      <c r="V15" s="2" t="s">
        <v>30</v>
      </c>
      <c r="W15" s="93">
        <f t="shared" si="10"/>
        <v>27</v>
      </c>
      <c r="X15" s="10" t="s">
        <v>31</v>
      </c>
      <c r="Y15" s="11" t="s">
        <v>29</v>
      </c>
      <c r="Z15" s="12">
        <v>6</v>
      </c>
      <c r="AA15" s="13">
        <f>3.4/5*3</f>
        <v>2.04</v>
      </c>
      <c r="AB15" s="13">
        <f>0.65/5*3</f>
        <v>0.39</v>
      </c>
      <c r="AC15" s="13">
        <f>19.9/5*3</f>
        <v>11.939999999999998</v>
      </c>
      <c r="AD15" s="14">
        <f>100.5/5*3</f>
        <v>60.300000000000004</v>
      </c>
      <c r="AE15" s="49"/>
      <c r="AF15" s="2" t="s">
        <v>30</v>
      </c>
      <c r="AG15" s="93">
        <f t="shared" si="11"/>
        <v>78</v>
      </c>
      <c r="AH15" s="10" t="s">
        <v>31</v>
      </c>
      <c r="AI15" s="11" t="s">
        <v>29</v>
      </c>
      <c r="AJ15" s="12">
        <v>6</v>
      </c>
      <c r="AK15" s="13">
        <f>3.4/5*3</f>
        <v>2.04</v>
      </c>
      <c r="AL15" s="13">
        <f>0.65/5*3</f>
        <v>0.39</v>
      </c>
      <c r="AM15" s="13">
        <f>19.9/5*3</f>
        <v>11.939999999999998</v>
      </c>
      <c r="AN15" s="14">
        <f>100.5/5*3</f>
        <v>60.300000000000004</v>
      </c>
    </row>
    <row r="16" spans="1:40" s="1" customFormat="1" ht="24.95" customHeight="1" thickBot="1" x14ac:dyDescent="0.35">
      <c r="A16" s="50"/>
      <c r="B16" s="24"/>
      <c r="C16" s="94"/>
      <c r="D16" s="18"/>
      <c r="E16" s="19"/>
      <c r="F16" s="25"/>
      <c r="G16" s="57"/>
      <c r="H16" s="57"/>
      <c r="I16" s="57"/>
      <c r="J16" s="58"/>
      <c r="K16" s="50"/>
      <c r="L16" s="24"/>
      <c r="M16" s="94"/>
      <c r="N16" s="18"/>
      <c r="O16" s="19"/>
      <c r="P16" s="25"/>
      <c r="Q16" s="57"/>
      <c r="R16" s="57"/>
      <c r="S16" s="57"/>
      <c r="T16" s="58"/>
      <c r="U16" s="50"/>
      <c r="V16" s="24"/>
      <c r="W16" s="94"/>
      <c r="X16" s="18"/>
      <c r="Y16" s="19"/>
      <c r="Z16" s="25"/>
      <c r="AA16" s="57"/>
      <c r="AB16" s="57"/>
      <c r="AC16" s="57"/>
      <c r="AD16" s="58"/>
      <c r="AE16" s="50"/>
      <c r="AF16" s="24"/>
      <c r="AG16" s="94"/>
      <c r="AH16" s="18"/>
      <c r="AI16" s="19"/>
      <c r="AJ16" s="25"/>
      <c r="AK16" s="57"/>
      <c r="AL16" s="57"/>
      <c r="AM16" s="57"/>
      <c r="AN16" s="58"/>
    </row>
    <row r="17" spans="1:41" s="23" customFormat="1" ht="24.95" customHeight="1" thickBot="1" x14ac:dyDescent="0.3">
      <c r="A17" s="298" t="s">
        <v>22</v>
      </c>
      <c r="B17" s="299"/>
      <c r="C17" s="300"/>
      <c r="D17" s="41"/>
      <c r="E17" s="42"/>
      <c r="F17" s="43">
        <f>SUM(F10:F16)</f>
        <v>210.6</v>
      </c>
      <c r="G17" s="44">
        <f t="shared" ref="G17:J17" si="12">SUM(G10:G16)</f>
        <v>19.706000000000003</v>
      </c>
      <c r="H17" s="44">
        <f t="shared" si="12"/>
        <v>20.807999999999996</v>
      </c>
      <c r="I17" s="44">
        <f t="shared" si="12"/>
        <v>79.12</v>
      </c>
      <c r="J17" s="45">
        <f t="shared" si="12"/>
        <v>585.87199999999996</v>
      </c>
      <c r="K17" s="298" t="s">
        <v>22</v>
      </c>
      <c r="L17" s="299"/>
      <c r="M17" s="300"/>
      <c r="N17" s="41"/>
      <c r="O17" s="42"/>
      <c r="P17" s="43">
        <f>SUM(P10:P16)</f>
        <v>223.2</v>
      </c>
      <c r="Q17" s="44">
        <f t="shared" ref="Q17:T17" si="13">SUM(Q10:Q16)</f>
        <v>22.259999999999998</v>
      </c>
      <c r="R17" s="44">
        <f t="shared" si="13"/>
        <v>24.38</v>
      </c>
      <c r="S17" s="44">
        <f t="shared" si="13"/>
        <v>83.02</v>
      </c>
      <c r="T17" s="45">
        <f t="shared" si="13"/>
        <v>644.16999999999996</v>
      </c>
      <c r="U17" s="67" t="s">
        <v>22</v>
      </c>
      <c r="V17" s="68"/>
      <c r="W17" s="276"/>
      <c r="X17" s="41"/>
      <c r="Y17" s="42"/>
      <c r="Z17" s="43">
        <f>SUM(Z10:Z16)</f>
        <v>197.87</v>
      </c>
      <c r="AA17" s="44">
        <f t="shared" ref="AA17:AD17" si="14">SUM(AA10:AA16)</f>
        <v>19.706000000000003</v>
      </c>
      <c r="AB17" s="44">
        <f t="shared" si="14"/>
        <v>20.807999999999996</v>
      </c>
      <c r="AC17" s="44">
        <f t="shared" si="14"/>
        <v>79.12</v>
      </c>
      <c r="AD17" s="45">
        <f t="shared" si="14"/>
        <v>585.87199999999996</v>
      </c>
      <c r="AE17" s="67" t="s">
        <v>22</v>
      </c>
      <c r="AF17" s="68"/>
      <c r="AG17" s="276"/>
      <c r="AH17" s="41"/>
      <c r="AI17" s="42"/>
      <c r="AJ17" s="43">
        <f>SUM(AJ10:AJ16)</f>
        <v>209.72750000000002</v>
      </c>
      <c r="AK17" s="44">
        <f t="shared" ref="AK17:AN17" si="15">SUM(AK10:AK16)</f>
        <v>22.259999999999998</v>
      </c>
      <c r="AL17" s="44">
        <f t="shared" si="15"/>
        <v>24.38</v>
      </c>
      <c r="AM17" s="44">
        <f t="shared" si="15"/>
        <v>83.02</v>
      </c>
      <c r="AN17" s="45">
        <f t="shared" si="15"/>
        <v>644.16999999999996</v>
      </c>
    </row>
    <row r="18" spans="1:41" s="23" customFormat="1" ht="29.25" customHeight="1" x14ac:dyDescent="0.3">
      <c r="A18" s="95" t="s">
        <v>32</v>
      </c>
      <c r="B18" s="51" t="s">
        <v>18</v>
      </c>
      <c r="C18" s="96">
        <v>7</v>
      </c>
      <c r="D18" s="26" t="s">
        <v>59</v>
      </c>
      <c r="E18" s="27" t="s">
        <v>60</v>
      </c>
      <c r="F18" s="7">
        <v>58</v>
      </c>
      <c r="G18" s="8">
        <f>5.6+0.2</f>
        <v>5.8</v>
      </c>
      <c r="H18" s="8">
        <f>6.4</f>
        <v>6.4</v>
      </c>
      <c r="I18" s="8">
        <f>9.4</f>
        <v>9.4</v>
      </c>
      <c r="J18" s="9">
        <f>118</f>
        <v>118</v>
      </c>
      <c r="K18" s="95" t="s">
        <v>32</v>
      </c>
      <c r="L18" s="51" t="s">
        <v>18</v>
      </c>
      <c r="M18" s="96">
        <v>37</v>
      </c>
      <c r="N18" s="26" t="s">
        <v>59</v>
      </c>
      <c r="O18" s="27" t="s">
        <v>60</v>
      </c>
      <c r="P18" s="7">
        <v>58</v>
      </c>
      <c r="Q18" s="8">
        <f>5.6+0.2</f>
        <v>5.8</v>
      </c>
      <c r="R18" s="8">
        <f>6.4</f>
        <v>6.4</v>
      </c>
      <c r="S18" s="8">
        <f>9.4</f>
        <v>9.4</v>
      </c>
      <c r="T18" s="9">
        <f>118</f>
        <v>118</v>
      </c>
      <c r="U18" s="97" t="s">
        <v>32</v>
      </c>
      <c r="V18" s="51" t="s">
        <v>18</v>
      </c>
      <c r="W18" s="96">
        <v>26</v>
      </c>
      <c r="X18" s="26" t="s">
        <v>59</v>
      </c>
      <c r="Y18" s="27" t="s">
        <v>60</v>
      </c>
      <c r="Z18" s="7">
        <v>53</v>
      </c>
      <c r="AA18" s="8">
        <f>5.6+0.2</f>
        <v>5.8</v>
      </c>
      <c r="AB18" s="8">
        <f>6.4</f>
        <v>6.4</v>
      </c>
      <c r="AC18" s="8">
        <f>9.4</f>
        <v>9.4</v>
      </c>
      <c r="AD18" s="9">
        <f>118</f>
        <v>118</v>
      </c>
      <c r="AE18" s="95" t="s">
        <v>32</v>
      </c>
      <c r="AF18" s="51" t="s">
        <v>18</v>
      </c>
      <c r="AG18" s="96">
        <v>5</v>
      </c>
      <c r="AH18" s="26" t="s">
        <v>59</v>
      </c>
      <c r="AI18" s="27" t="s">
        <v>60</v>
      </c>
      <c r="AJ18" s="7">
        <v>53</v>
      </c>
      <c r="AK18" s="8">
        <f>5.6+0.2</f>
        <v>5.8</v>
      </c>
      <c r="AL18" s="8">
        <f>6.4</f>
        <v>6.4</v>
      </c>
      <c r="AM18" s="8">
        <f>9.4</f>
        <v>9.4</v>
      </c>
      <c r="AN18" s="9">
        <f>118</f>
        <v>118</v>
      </c>
      <c r="AO18" s="1"/>
    </row>
    <row r="19" spans="1:41" s="1" customFormat="1" ht="24.95" customHeight="1" x14ac:dyDescent="0.3">
      <c r="A19" s="49"/>
      <c r="B19" s="2" t="s">
        <v>61</v>
      </c>
      <c r="C19" s="93">
        <f>C18</f>
        <v>7</v>
      </c>
      <c r="D19" s="77" t="s">
        <v>62</v>
      </c>
      <c r="E19" s="84" t="s">
        <v>33</v>
      </c>
      <c r="F19" s="12">
        <v>39.200000000000003</v>
      </c>
      <c r="G19" s="13">
        <v>10.6</v>
      </c>
      <c r="H19" s="13">
        <v>12.3</v>
      </c>
      <c r="I19" s="13">
        <v>40.1</v>
      </c>
      <c r="J19" s="14">
        <v>318</v>
      </c>
      <c r="K19" s="49"/>
      <c r="L19" s="2" t="s">
        <v>61</v>
      </c>
      <c r="M19" s="93">
        <f>M18</f>
        <v>37</v>
      </c>
      <c r="N19" s="77" t="s">
        <v>62</v>
      </c>
      <c r="O19" s="84" t="s">
        <v>33</v>
      </c>
      <c r="P19" s="12">
        <v>39.200000000000003</v>
      </c>
      <c r="Q19" s="13">
        <v>10.6</v>
      </c>
      <c r="R19" s="13">
        <v>12.3</v>
      </c>
      <c r="S19" s="13">
        <v>40.1</v>
      </c>
      <c r="T19" s="14">
        <v>318</v>
      </c>
      <c r="U19" s="98"/>
      <c r="V19" s="88" t="s">
        <v>61</v>
      </c>
      <c r="W19" s="92">
        <f>W18</f>
        <v>26</v>
      </c>
      <c r="X19" s="77" t="s">
        <v>63</v>
      </c>
      <c r="Y19" s="84" t="s">
        <v>33</v>
      </c>
      <c r="Z19" s="12">
        <v>36.6</v>
      </c>
      <c r="AA19" s="13">
        <v>10.6</v>
      </c>
      <c r="AB19" s="13">
        <v>12.3</v>
      </c>
      <c r="AC19" s="13">
        <v>40.1</v>
      </c>
      <c r="AD19" s="14">
        <v>318</v>
      </c>
      <c r="AE19" s="60"/>
      <c r="AF19" s="88" t="s">
        <v>61</v>
      </c>
      <c r="AG19" s="92">
        <f>AG18</f>
        <v>5</v>
      </c>
      <c r="AH19" s="77" t="s">
        <v>63</v>
      </c>
      <c r="AI19" s="84" t="s">
        <v>33</v>
      </c>
      <c r="AJ19" s="12">
        <v>36.6</v>
      </c>
      <c r="AK19" s="13">
        <v>10.6</v>
      </c>
      <c r="AL19" s="13">
        <v>12.3</v>
      </c>
      <c r="AM19" s="13">
        <v>40.1</v>
      </c>
      <c r="AN19" s="14">
        <v>318</v>
      </c>
    </row>
    <row r="20" spans="1:41" s="32" customFormat="1" ht="24.95" customHeight="1" thickBot="1" x14ac:dyDescent="0.35">
      <c r="A20" s="99"/>
      <c r="B20" s="80"/>
      <c r="C20" s="100"/>
      <c r="D20" s="78"/>
      <c r="E20" s="79"/>
      <c r="F20" s="25"/>
      <c r="G20" s="57"/>
      <c r="H20" s="57"/>
      <c r="I20" s="57"/>
      <c r="J20" s="58"/>
      <c r="K20" s="99"/>
      <c r="L20" s="24" t="s">
        <v>64</v>
      </c>
      <c r="M20" s="94">
        <f>M19</f>
        <v>37</v>
      </c>
      <c r="N20" s="18" t="s">
        <v>65</v>
      </c>
      <c r="O20" s="19" t="s">
        <v>33</v>
      </c>
      <c r="P20" s="25">
        <v>9</v>
      </c>
      <c r="Q20" s="21">
        <v>1.1000000000000001</v>
      </c>
      <c r="R20" s="21">
        <v>1.3</v>
      </c>
      <c r="S20" s="21">
        <v>10.9</v>
      </c>
      <c r="T20" s="22">
        <v>72</v>
      </c>
      <c r="U20" s="101"/>
      <c r="V20" s="80"/>
      <c r="W20" s="100"/>
      <c r="X20" s="78"/>
      <c r="Y20" s="79"/>
      <c r="Z20" s="25"/>
      <c r="AA20" s="57"/>
      <c r="AB20" s="57"/>
      <c r="AC20" s="57"/>
      <c r="AD20" s="58"/>
      <c r="AE20" s="99"/>
      <c r="AF20" s="24" t="s">
        <v>64</v>
      </c>
      <c r="AG20" s="94">
        <f>AG19</f>
        <v>5</v>
      </c>
      <c r="AH20" s="18" t="s">
        <v>65</v>
      </c>
      <c r="AI20" s="19" t="s">
        <v>33</v>
      </c>
      <c r="AJ20" s="25">
        <v>9</v>
      </c>
      <c r="AK20" s="21">
        <v>1.1000000000000001</v>
      </c>
      <c r="AL20" s="21">
        <v>1.3</v>
      </c>
      <c r="AM20" s="21">
        <v>10.9</v>
      </c>
      <c r="AN20" s="22">
        <v>72</v>
      </c>
    </row>
    <row r="21" spans="1:41" s="23" customFormat="1" ht="24.95" customHeight="1" thickBot="1" x14ac:dyDescent="0.3">
      <c r="A21" s="286" t="s">
        <v>22</v>
      </c>
      <c r="B21" s="287"/>
      <c r="C21" s="288"/>
      <c r="D21" s="28"/>
      <c r="E21" s="29"/>
      <c r="F21" s="46">
        <f>SUM(F18:F19)</f>
        <v>97.2</v>
      </c>
      <c r="G21" s="30">
        <f>SUM(G18:G19)</f>
        <v>16.399999999999999</v>
      </c>
      <c r="H21" s="30">
        <f>SUM(H18:H19)</f>
        <v>18.700000000000003</v>
      </c>
      <c r="I21" s="30">
        <f>SUM(I18:I19)</f>
        <v>49.5</v>
      </c>
      <c r="J21" s="31">
        <f>SUM(J18:J19)</f>
        <v>436</v>
      </c>
      <c r="K21" s="286" t="s">
        <v>22</v>
      </c>
      <c r="L21" s="287"/>
      <c r="M21" s="288"/>
      <c r="N21" s="28"/>
      <c r="O21" s="55"/>
      <c r="P21" s="46">
        <f>SUM(P18:P20)</f>
        <v>106.2</v>
      </c>
      <c r="Q21" s="30">
        <f t="shared" ref="Q21:T21" si="16">SUM(Q18:Q20)</f>
        <v>17.5</v>
      </c>
      <c r="R21" s="30">
        <f t="shared" si="16"/>
        <v>20.000000000000004</v>
      </c>
      <c r="S21" s="30">
        <f t="shared" si="16"/>
        <v>60.4</v>
      </c>
      <c r="T21" s="31">
        <f t="shared" si="16"/>
        <v>508</v>
      </c>
      <c r="U21" s="56" t="s">
        <v>22</v>
      </c>
      <c r="V21" s="69"/>
      <c r="W21" s="277"/>
      <c r="X21" s="28"/>
      <c r="Y21" s="29"/>
      <c r="Z21" s="46">
        <f>SUM(Z18:Z19)</f>
        <v>89.6</v>
      </c>
      <c r="AA21" s="30">
        <f>SUM(AA18:AA19)</f>
        <v>16.399999999999999</v>
      </c>
      <c r="AB21" s="30">
        <f>SUM(AB18:AB19)</f>
        <v>18.700000000000003</v>
      </c>
      <c r="AC21" s="30">
        <f>SUM(AC18:AC19)</f>
        <v>49.5</v>
      </c>
      <c r="AD21" s="31">
        <f>SUM(AD18:AD19)</f>
        <v>436</v>
      </c>
      <c r="AE21" s="56" t="s">
        <v>22</v>
      </c>
      <c r="AF21" s="69"/>
      <c r="AG21" s="277"/>
      <c r="AH21" s="28"/>
      <c r="AI21" s="55"/>
      <c r="AJ21" s="46">
        <f t="shared" ref="AJ21:AN21" si="17">SUM(AJ18:AJ20)</f>
        <v>98.6</v>
      </c>
      <c r="AK21" s="30">
        <f t="shared" si="17"/>
        <v>17.5</v>
      </c>
      <c r="AL21" s="30">
        <f t="shared" si="17"/>
        <v>20.000000000000004</v>
      </c>
      <c r="AM21" s="30">
        <f t="shared" si="17"/>
        <v>60.4</v>
      </c>
      <c r="AN21" s="31">
        <f t="shared" si="17"/>
        <v>508</v>
      </c>
    </row>
    <row r="22" spans="1:41" s="32" customFormat="1" ht="24.95" customHeight="1" x14ac:dyDescent="0.25"/>
    <row r="23" spans="1:41" s="32" customFormat="1" ht="24.95" customHeight="1" x14ac:dyDescent="0.25">
      <c r="C23" s="33"/>
      <c r="D23" s="33" t="s">
        <v>34</v>
      </c>
      <c r="E23" s="34"/>
      <c r="F23" s="35" t="s">
        <v>35</v>
      </c>
      <c r="G23" s="36"/>
      <c r="N23" s="33" t="s">
        <v>34</v>
      </c>
      <c r="O23" s="34"/>
      <c r="P23" s="35" t="s">
        <v>35</v>
      </c>
      <c r="Q23" s="36"/>
      <c r="X23" s="33" t="s">
        <v>34</v>
      </c>
      <c r="Y23" s="34"/>
      <c r="Z23" s="35" t="s">
        <v>35</v>
      </c>
      <c r="AA23" s="36"/>
      <c r="AH23" s="33" t="s">
        <v>34</v>
      </c>
      <c r="AI23" s="34"/>
      <c r="AJ23" s="35" t="s">
        <v>35</v>
      </c>
      <c r="AK23" s="36"/>
      <c r="AL23" s="52"/>
    </row>
    <row r="24" spans="1:41" s="32" customFormat="1" ht="24.95" customHeight="1" x14ac:dyDescent="0.25">
      <c r="C24" s="33"/>
      <c r="D24" s="33"/>
      <c r="E24" s="34"/>
      <c r="F24" s="35"/>
      <c r="G24" s="36"/>
      <c r="N24" s="33"/>
      <c r="O24" s="34"/>
      <c r="P24" s="35"/>
      <c r="Q24" s="36"/>
      <c r="X24" s="33"/>
      <c r="Y24" s="34"/>
      <c r="Z24" s="35"/>
      <c r="AA24" s="36"/>
      <c r="AH24" s="33"/>
      <c r="AI24" s="34"/>
      <c r="AJ24" s="35"/>
      <c r="AK24" s="36"/>
    </row>
    <row r="25" spans="1:41" s="32" customFormat="1" ht="24.95" customHeight="1" x14ac:dyDescent="0.25">
      <c r="C25" s="37"/>
      <c r="D25" s="37" t="s">
        <v>36</v>
      </c>
      <c r="E25" s="38"/>
      <c r="F25" s="102" t="s">
        <v>37</v>
      </c>
      <c r="G25" s="36"/>
      <c r="N25" s="37" t="s">
        <v>36</v>
      </c>
      <c r="O25" s="38"/>
      <c r="P25" s="102" t="s">
        <v>37</v>
      </c>
      <c r="Q25" s="36"/>
      <c r="X25" s="37" t="s">
        <v>36</v>
      </c>
      <c r="Y25" s="38"/>
      <c r="Z25" s="102" t="s">
        <v>37</v>
      </c>
      <c r="AA25" s="36"/>
      <c r="AH25" s="37" t="s">
        <v>36</v>
      </c>
      <c r="AI25" s="38"/>
      <c r="AJ25" s="102" t="s">
        <v>37</v>
      </c>
      <c r="AK25" s="36"/>
    </row>
    <row r="26" spans="1:41" ht="24.95" customHeight="1" x14ac:dyDescent="0.25">
      <c r="A26" s="103" t="s">
        <v>66</v>
      </c>
      <c r="B26" s="104"/>
      <c r="C26" s="104"/>
      <c r="D26" s="102"/>
      <c r="E26" s="104" t="s">
        <v>67</v>
      </c>
      <c r="F26" s="105"/>
      <c r="G26" s="106"/>
      <c r="H26" s="107" t="s">
        <v>68</v>
      </c>
      <c r="I26" s="289">
        <f>J1</f>
        <v>44484</v>
      </c>
      <c r="J26" s="289"/>
      <c r="K26" s="103" t="s">
        <v>66</v>
      </c>
      <c r="L26" s="104"/>
      <c r="M26" s="104"/>
      <c r="N26" s="102"/>
      <c r="O26" s="104" t="s">
        <v>67</v>
      </c>
      <c r="P26" s="105"/>
      <c r="Q26" s="106"/>
      <c r="R26" s="106">
        <f>H26+1</f>
        <v>3413</v>
      </c>
      <c r="S26" s="289">
        <f>T1</f>
        <v>44484</v>
      </c>
      <c r="T26" s="289"/>
      <c r="U26" s="103" t="s">
        <v>66</v>
      </c>
      <c r="V26" s="104"/>
      <c r="W26" s="104"/>
      <c r="X26" s="102"/>
      <c r="Y26" s="104" t="s">
        <v>67</v>
      </c>
      <c r="Z26" s="105"/>
      <c r="AA26" s="106"/>
      <c r="AB26" s="106">
        <f>R26+1</f>
        <v>3414</v>
      </c>
      <c r="AC26" s="278">
        <f>AD1</f>
        <v>44484</v>
      </c>
      <c r="AD26" s="278"/>
      <c r="AE26" s="103" t="s">
        <v>66</v>
      </c>
      <c r="AF26" s="104"/>
      <c r="AG26" s="104"/>
      <c r="AH26" s="102"/>
      <c r="AI26" s="104" t="s">
        <v>67</v>
      </c>
      <c r="AJ26" s="105"/>
      <c r="AK26" s="106"/>
      <c r="AL26" s="106">
        <f>AB26+1</f>
        <v>3415</v>
      </c>
      <c r="AM26" s="289">
        <f>AN1</f>
        <v>44484</v>
      </c>
      <c r="AN26" s="289"/>
    </row>
    <row r="27" spans="1:41" s="114" customFormat="1" ht="24.95" customHeight="1" x14ac:dyDescent="0.25">
      <c r="A27" s="108" t="s">
        <v>69</v>
      </c>
      <c r="B27" s="109"/>
      <c r="C27" s="110"/>
      <c r="D27" s="110"/>
      <c r="E27" s="110"/>
      <c r="F27" s="110"/>
      <c r="G27" s="111"/>
      <c r="H27" s="111"/>
      <c r="I27" s="112"/>
      <c r="J27" s="113"/>
      <c r="K27" s="108" t="s">
        <v>69</v>
      </c>
      <c r="L27" s="109"/>
      <c r="M27" s="110"/>
      <c r="N27" s="110"/>
      <c r="O27" s="110"/>
      <c r="P27" s="110"/>
      <c r="Q27" s="111"/>
      <c r="R27" s="111"/>
      <c r="S27" s="112"/>
      <c r="T27" s="113"/>
      <c r="U27" s="108" t="s">
        <v>69</v>
      </c>
      <c r="V27" s="109"/>
      <c r="W27" s="110"/>
      <c r="X27" s="110"/>
      <c r="Y27" s="110"/>
      <c r="Z27" s="110"/>
      <c r="AA27" s="111"/>
      <c r="AB27" s="111"/>
      <c r="AC27" s="112"/>
      <c r="AD27" s="113"/>
      <c r="AE27" s="108" t="s">
        <v>69</v>
      </c>
      <c r="AF27" s="109"/>
      <c r="AG27" s="110"/>
      <c r="AH27" s="110"/>
      <c r="AI27" s="110"/>
      <c r="AJ27" s="110"/>
      <c r="AK27" s="111"/>
      <c r="AL27" s="111"/>
      <c r="AM27" s="112"/>
      <c r="AN27" s="113"/>
    </row>
    <row r="28" spans="1:41" s="114" customFormat="1" ht="24.95" customHeight="1" thickBot="1" x14ac:dyDescent="0.3">
      <c r="A28" s="108" t="s">
        <v>70</v>
      </c>
      <c r="B28" s="108"/>
      <c r="C28" s="115"/>
      <c r="D28" s="115"/>
      <c r="E28" s="110"/>
      <c r="F28" s="110"/>
      <c r="G28" s="116"/>
      <c r="H28" s="111"/>
      <c r="I28" s="111"/>
      <c r="J28" s="111"/>
      <c r="K28" s="108" t="s">
        <v>70</v>
      </c>
      <c r="L28" s="108"/>
      <c r="M28" s="115"/>
      <c r="N28" s="115"/>
      <c r="O28" s="110"/>
      <c r="P28" s="110"/>
      <c r="Q28" s="116"/>
      <c r="R28" s="111"/>
      <c r="S28" s="111"/>
      <c r="T28" s="111"/>
      <c r="U28" s="108" t="s">
        <v>71</v>
      </c>
      <c r="V28" s="108"/>
      <c r="W28" s="115"/>
      <c r="X28" s="115"/>
      <c r="Y28" s="110"/>
      <c r="Z28" s="110"/>
      <c r="AA28" s="116"/>
      <c r="AB28" s="111"/>
      <c r="AC28" s="111"/>
      <c r="AD28" s="111"/>
      <c r="AE28" s="108" t="s">
        <v>71</v>
      </c>
      <c r="AF28" s="108"/>
      <c r="AG28" s="115"/>
      <c r="AH28" s="115"/>
      <c r="AI28" s="110"/>
      <c r="AJ28" s="110"/>
      <c r="AK28" s="116"/>
      <c r="AL28" s="111"/>
      <c r="AM28" s="111"/>
      <c r="AN28" s="111"/>
    </row>
    <row r="29" spans="1:41" s="53" customFormat="1" ht="62.25" customHeight="1" thickBot="1" x14ac:dyDescent="0.3">
      <c r="A29" s="117" t="s">
        <v>72</v>
      </c>
      <c r="B29" s="118" t="s">
        <v>48</v>
      </c>
      <c r="C29" s="118" t="s">
        <v>73</v>
      </c>
      <c r="D29" s="118" t="s">
        <v>74</v>
      </c>
      <c r="E29" s="119" t="s">
        <v>75</v>
      </c>
      <c r="F29" s="119" t="s">
        <v>76</v>
      </c>
      <c r="G29" s="119" t="s">
        <v>77</v>
      </c>
      <c r="H29" s="119" t="s">
        <v>76</v>
      </c>
      <c r="I29" s="119" t="s">
        <v>78</v>
      </c>
      <c r="J29" s="120" t="s">
        <v>76</v>
      </c>
      <c r="K29" s="117" t="s">
        <v>72</v>
      </c>
      <c r="L29" s="118" t="s">
        <v>48</v>
      </c>
      <c r="M29" s="118" t="s">
        <v>73</v>
      </c>
      <c r="N29" s="118" t="s">
        <v>74</v>
      </c>
      <c r="O29" s="119" t="s">
        <v>75</v>
      </c>
      <c r="P29" s="119" t="s">
        <v>76</v>
      </c>
      <c r="Q29" s="119" t="s">
        <v>77</v>
      </c>
      <c r="R29" s="119" t="s">
        <v>76</v>
      </c>
      <c r="S29" s="119" t="s">
        <v>78</v>
      </c>
      <c r="T29" s="120" t="s">
        <v>76</v>
      </c>
      <c r="U29" s="117" t="s">
        <v>72</v>
      </c>
      <c r="V29" s="118" t="s">
        <v>48</v>
      </c>
      <c r="W29" s="118" t="s">
        <v>73</v>
      </c>
      <c r="X29" s="118" t="s">
        <v>74</v>
      </c>
      <c r="Y29" s="119" t="s">
        <v>75</v>
      </c>
      <c r="Z29" s="119" t="s">
        <v>76</v>
      </c>
      <c r="AA29" s="119" t="s">
        <v>77</v>
      </c>
      <c r="AB29" s="119" t="s">
        <v>76</v>
      </c>
      <c r="AC29" s="119" t="s">
        <v>78</v>
      </c>
      <c r="AD29" s="120" t="s">
        <v>76</v>
      </c>
      <c r="AE29" s="121" t="s">
        <v>72</v>
      </c>
      <c r="AF29" s="118" t="s">
        <v>48</v>
      </c>
      <c r="AG29" s="118" t="s">
        <v>73</v>
      </c>
      <c r="AH29" s="118" t="s">
        <v>74</v>
      </c>
      <c r="AI29" s="119" t="s">
        <v>75</v>
      </c>
      <c r="AJ29" s="119" t="s">
        <v>76</v>
      </c>
      <c r="AK29" s="119" t="s">
        <v>77</v>
      </c>
      <c r="AL29" s="119" t="s">
        <v>76</v>
      </c>
      <c r="AM29" s="119" t="s">
        <v>78</v>
      </c>
      <c r="AN29" s="120" t="s">
        <v>76</v>
      </c>
    </row>
    <row r="30" spans="1:41" s="53" customFormat="1" ht="15" customHeight="1" x14ac:dyDescent="0.25">
      <c r="A30" s="122"/>
      <c r="B30" s="123" t="str">
        <f>A4</f>
        <v>Завтрак</v>
      </c>
      <c r="C30" s="124"/>
      <c r="D30" s="124"/>
      <c r="E30" s="125"/>
      <c r="F30" s="125"/>
      <c r="G30" s="125"/>
      <c r="H30" s="125"/>
      <c r="I30" s="125"/>
      <c r="J30" s="126"/>
      <c r="K30" s="127"/>
      <c r="L30" s="123" t="str">
        <f>K4</f>
        <v>Завтрак</v>
      </c>
      <c r="M30" s="124"/>
      <c r="N30" s="124"/>
      <c r="O30" s="125"/>
      <c r="P30" s="125"/>
      <c r="Q30" s="125"/>
      <c r="R30" s="125"/>
      <c r="S30" s="125"/>
      <c r="T30" s="126"/>
      <c r="U30" s="122"/>
      <c r="V30" s="123" t="str">
        <f>U4</f>
        <v>Завтрак</v>
      </c>
      <c r="W30" s="124"/>
      <c r="X30" s="124"/>
      <c r="Y30" s="125"/>
      <c r="Z30" s="125"/>
      <c r="AA30" s="125"/>
      <c r="AB30" s="125"/>
      <c r="AC30" s="125"/>
      <c r="AD30" s="126"/>
      <c r="AE30" s="128"/>
      <c r="AF30" s="123" t="str">
        <f>AE4</f>
        <v>Завтрак</v>
      </c>
      <c r="AG30" s="124"/>
      <c r="AH30" s="124"/>
      <c r="AI30" s="125"/>
      <c r="AJ30" s="125"/>
      <c r="AK30" s="125"/>
      <c r="AL30" s="125"/>
      <c r="AM30" s="125"/>
      <c r="AN30" s="126"/>
    </row>
    <row r="31" spans="1:41" s="53" customFormat="1" ht="15" customHeight="1" x14ac:dyDescent="0.25">
      <c r="A31" s="129">
        <v>1</v>
      </c>
      <c r="B31" s="130">
        <f>C4</f>
        <v>25</v>
      </c>
      <c r="C31" s="131" t="str">
        <f>E4</f>
        <v>1/200</v>
      </c>
      <c r="D31" s="132" t="str">
        <f>D4</f>
        <v>Макароны отварные с тертым сыром</v>
      </c>
      <c r="E31" s="133">
        <f>G31/2.5</f>
        <v>12.102</v>
      </c>
      <c r="F31" s="133">
        <f>E31*B31</f>
        <v>302.55</v>
      </c>
      <c r="G31" s="134">
        <f>11.85/15*18+7.48*1.5+9.63/2</f>
        <v>30.254999999999999</v>
      </c>
      <c r="H31" s="133">
        <f>G31*B31</f>
        <v>756.375</v>
      </c>
      <c r="I31" s="133">
        <f>F4</f>
        <v>78</v>
      </c>
      <c r="J31" s="135">
        <f>I31*B31</f>
        <v>1950</v>
      </c>
      <c r="K31" s="136">
        <v>1</v>
      </c>
      <c r="L31" s="130">
        <f>M4</f>
        <v>15</v>
      </c>
      <c r="M31" s="131" t="str">
        <f>O4</f>
        <v>200/10</v>
      </c>
      <c r="N31" s="132" t="str">
        <f>N4</f>
        <v>Макароны отварные с тертым сыром и маслом сливочным</v>
      </c>
      <c r="O31" s="133">
        <f>Q31/2.5</f>
        <v>14.028</v>
      </c>
      <c r="P31" s="133">
        <f>O31*L31</f>
        <v>210.42000000000002</v>
      </c>
      <c r="Q31" s="134">
        <f>11.85/15*18+7.48*1.5+9.63</f>
        <v>35.07</v>
      </c>
      <c r="R31" s="133">
        <f>Q31*L31</f>
        <v>526.04999999999995</v>
      </c>
      <c r="S31" s="133">
        <f>P4</f>
        <v>101.4</v>
      </c>
      <c r="T31" s="135">
        <f>S31*L31</f>
        <v>1521</v>
      </c>
      <c r="U31" s="129">
        <v>1</v>
      </c>
      <c r="V31" s="130">
        <f>W4</f>
        <v>27</v>
      </c>
      <c r="W31" s="131" t="str">
        <f>Y4</f>
        <v>1/200</v>
      </c>
      <c r="X31" s="132" t="str">
        <f>X4</f>
        <v>Макароны отварные с тертым сыром</v>
      </c>
      <c r="Y31" s="133">
        <f>AA31/2.5</f>
        <v>12.102</v>
      </c>
      <c r="Z31" s="133">
        <f>Y31*V31</f>
        <v>326.75400000000002</v>
      </c>
      <c r="AA31" s="134">
        <f>11.85/15*18+7.48*1.5+9.63/2</f>
        <v>30.254999999999999</v>
      </c>
      <c r="AB31" s="133">
        <f>AA31*V31</f>
        <v>816.88499999999999</v>
      </c>
      <c r="AC31" s="133">
        <f>Z4</f>
        <v>70.069999999999993</v>
      </c>
      <c r="AD31" s="135">
        <f>AC31*V31</f>
        <v>1891.8899999999999</v>
      </c>
      <c r="AE31" s="137">
        <v>1</v>
      </c>
      <c r="AF31" s="130">
        <f>AG4</f>
        <v>70</v>
      </c>
      <c r="AG31" s="131" t="str">
        <f>AI4</f>
        <v>200/10</v>
      </c>
      <c r="AH31" s="132" t="str">
        <f>AH4</f>
        <v>Макароны отварные с тертым сыром и маслом сливочным</v>
      </c>
      <c r="AI31" s="133">
        <f>AK31/2.5</f>
        <v>14.028</v>
      </c>
      <c r="AJ31" s="133">
        <f>AI31*AF31</f>
        <v>981.96</v>
      </c>
      <c r="AK31" s="134">
        <f>11.85/15*18+7.48*1.5+9.63</f>
        <v>35.07</v>
      </c>
      <c r="AL31" s="133">
        <f>AK31*AF31</f>
        <v>2454.9</v>
      </c>
      <c r="AM31" s="133">
        <f>AJ4</f>
        <v>92.2</v>
      </c>
      <c r="AN31" s="135">
        <f>AM31*AF31</f>
        <v>6454</v>
      </c>
    </row>
    <row r="32" spans="1:41" s="53" customFormat="1" ht="15" customHeight="1" x14ac:dyDescent="0.25">
      <c r="A32" s="129">
        <f>A31+1</f>
        <v>2</v>
      </c>
      <c r="B32" s="130">
        <f>B31</f>
        <v>25</v>
      </c>
      <c r="C32" s="131" t="str">
        <f>E5</f>
        <v>1/200</v>
      </c>
      <c r="D32" s="132" t="str">
        <f>D5</f>
        <v>Чай с сахаром</v>
      </c>
      <c r="E32" s="133">
        <f t="shared" ref="E32:E34" si="18">G32/2.5</f>
        <v>2.544</v>
      </c>
      <c r="F32" s="133">
        <f t="shared" ref="F32:F34" si="19">E32*B32</f>
        <v>63.6</v>
      </c>
      <c r="G32" s="134">
        <v>6.36</v>
      </c>
      <c r="H32" s="133">
        <f t="shared" ref="H32:H34" si="20">G32*B32</f>
        <v>159</v>
      </c>
      <c r="I32" s="133">
        <f>F5</f>
        <v>8</v>
      </c>
      <c r="J32" s="135">
        <f t="shared" ref="J32:J34" si="21">I32*B32</f>
        <v>200</v>
      </c>
      <c r="K32" s="136">
        <f>K31+1</f>
        <v>2</v>
      </c>
      <c r="L32" s="130">
        <f>L31</f>
        <v>15</v>
      </c>
      <c r="M32" s="131" t="str">
        <f>O5</f>
        <v>1/200</v>
      </c>
      <c r="N32" s="132" t="str">
        <f>N5</f>
        <v>Чай с сахаром</v>
      </c>
      <c r="O32" s="133">
        <f t="shared" ref="O32:O34" si="22">Q32/2.5</f>
        <v>2.544</v>
      </c>
      <c r="P32" s="133">
        <f t="shared" ref="P32:P34" si="23">O32*L32</f>
        <v>38.160000000000004</v>
      </c>
      <c r="Q32" s="134">
        <v>6.36</v>
      </c>
      <c r="R32" s="133">
        <f t="shared" ref="R32:R34" si="24">Q32*L32</f>
        <v>95.4</v>
      </c>
      <c r="S32" s="133">
        <f>P5</f>
        <v>8</v>
      </c>
      <c r="T32" s="135">
        <f t="shared" ref="T32:T34" si="25">S32*L32</f>
        <v>120</v>
      </c>
      <c r="U32" s="129">
        <f>U31+1</f>
        <v>2</v>
      </c>
      <c r="V32" s="130">
        <f>V31</f>
        <v>27</v>
      </c>
      <c r="W32" s="131" t="str">
        <f>Y5</f>
        <v>1/200</v>
      </c>
      <c r="X32" s="132" t="str">
        <f>X5</f>
        <v>Чай с сахаром</v>
      </c>
      <c r="Y32" s="133">
        <f t="shared" ref="Y32:Y34" si="26">AA32/2.5</f>
        <v>2.544</v>
      </c>
      <c r="Z32" s="133">
        <f t="shared" ref="Z32:Z34" si="27">Y32*V32</f>
        <v>68.688000000000002</v>
      </c>
      <c r="AA32" s="134">
        <v>6.36</v>
      </c>
      <c r="AB32" s="133">
        <f t="shared" ref="AB32:AB34" si="28">AA32*V32</f>
        <v>171.72</v>
      </c>
      <c r="AC32" s="133">
        <f>Z5</f>
        <v>8</v>
      </c>
      <c r="AD32" s="135">
        <f t="shared" ref="AD32:AD34" si="29">AC32*V32</f>
        <v>216</v>
      </c>
      <c r="AE32" s="136">
        <f>AE31+1</f>
        <v>2</v>
      </c>
      <c r="AF32" s="130">
        <f>AF31</f>
        <v>70</v>
      </c>
      <c r="AG32" s="131" t="str">
        <f>AI5</f>
        <v>1/200</v>
      </c>
      <c r="AH32" s="132" t="str">
        <f>AH5</f>
        <v>Чай с сахаром</v>
      </c>
      <c r="AI32" s="133">
        <f t="shared" ref="AI32:AI34" si="30">AK32/2.5</f>
        <v>2.544</v>
      </c>
      <c r="AJ32" s="133">
        <f t="shared" ref="AJ32:AJ34" si="31">AI32*AF32</f>
        <v>178.08</v>
      </c>
      <c r="AK32" s="134">
        <v>6.36</v>
      </c>
      <c r="AL32" s="133">
        <f t="shared" ref="AL32:AL34" si="32">AK32*AF32</f>
        <v>445.20000000000005</v>
      </c>
      <c r="AM32" s="133">
        <f>AJ5</f>
        <v>8</v>
      </c>
      <c r="AN32" s="135">
        <f t="shared" ref="AN32:AN34" si="33">AM32*AF32</f>
        <v>560</v>
      </c>
    </row>
    <row r="33" spans="1:40" s="53" customFormat="1" ht="15" customHeight="1" x14ac:dyDescent="0.25">
      <c r="A33" s="129">
        <f t="shared" ref="A33:A34" si="34">A32+1</f>
        <v>3</v>
      </c>
      <c r="B33" s="130">
        <f t="shared" ref="B33:B34" si="35">B32</f>
        <v>25</v>
      </c>
      <c r="C33" s="131" t="str">
        <f>E6</f>
        <v>1/30</v>
      </c>
      <c r="D33" s="132" t="str">
        <f>D6</f>
        <v>Батон</v>
      </c>
      <c r="E33" s="133">
        <f t="shared" si="18"/>
        <v>3.3759999999999999</v>
      </c>
      <c r="F33" s="133">
        <f t="shared" si="19"/>
        <v>84.399999999999991</v>
      </c>
      <c r="G33" s="134">
        <v>8.44</v>
      </c>
      <c r="H33" s="133">
        <f t="shared" si="20"/>
        <v>211</v>
      </c>
      <c r="I33" s="133">
        <f>F6</f>
        <v>9.1999999999999993</v>
      </c>
      <c r="J33" s="135">
        <f t="shared" si="21"/>
        <v>229.99999999999997</v>
      </c>
      <c r="K33" s="136">
        <f t="shared" ref="K33:K34" si="36">K32+1</f>
        <v>3</v>
      </c>
      <c r="L33" s="130">
        <f t="shared" ref="L33:L34" si="37">L32</f>
        <v>15</v>
      </c>
      <c r="M33" s="131" t="str">
        <f>O6</f>
        <v>1/30</v>
      </c>
      <c r="N33" s="132" t="str">
        <f>N6</f>
        <v>Батон</v>
      </c>
      <c r="O33" s="133">
        <f t="shared" si="22"/>
        <v>3.3759999999999999</v>
      </c>
      <c r="P33" s="133">
        <f t="shared" si="23"/>
        <v>50.64</v>
      </c>
      <c r="Q33" s="134">
        <v>8.44</v>
      </c>
      <c r="R33" s="133">
        <f t="shared" si="24"/>
        <v>126.6</v>
      </c>
      <c r="S33" s="133">
        <f>P6</f>
        <v>9.1999999999999993</v>
      </c>
      <c r="T33" s="135">
        <f t="shared" si="25"/>
        <v>138</v>
      </c>
      <c r="U33" s="129">
        <f t="shared" ref="U33:U34" si="38">U32+1</f>
        <v>3</v>
      </c>
      <c r="V33" s="130">
        <f t="shared" ref="V33:V34" si="39">V32</f>
        <v>27</v>
      </c>
      <c r="W33" s="131" t="str">
        <f>Y6</f>
        <v>1/30</v>
      </c>
      <c r="X33" s="132" t="str">
        <f>X6</f>
        <v>Батон</v>
      </c>
      <c r="Y33" s="133">
        <f t="shared" si="26"/>
        <v>3.3759999999999999</v>
      </c>
      <c r="Z33" s="133">
        <f t="shared" si="27"/>
        <v>91.152000000000001</v>
      </c>
      <c r="AA33" s="134">
        <v>8.44</v>
      </c>
      <c r="AB33" s="133">
        <f t="shared" si="28"/>
        <v>227.88</v>
      </c>
      <c r="AC33" s="133">
        <f>Z6</f>
        <v>9.1999999999999993</v>
      </c>
      <c r="AD33" s="135">
        <f t="shared" si="29"/>
        <v>248.39999999999998</v>
      </c>
      <c r="AE33" s="136">
        <f t="shared" ref="AE33:AE34" si="40">AE32+1</f>
        <v>3</v>
      </c>
      <c r="AF33" s="130">
        <f t="shared" ref="AF33:AF34" si="41">AF32</f>
        <v>70</v>
      </c>
      <c r="AG33" s="131" t="str">
        <f>AI6</f>
        <v>1/30</v>
      </c>
      <c r="AH33" s="132" t="str">
        <f>AH6</f>
        <v>Батон</v>
      </c>
      <c r="AI33" s="133">
        <f t="shared" si="30"/>
        <v>3.3759999999999999</v>
      </c>
      <c r="AJ33" s="133">
        <f t="shared" si="31"/>
        <v>236.32</v>
      </c>
      <c r="AK33" s="134">
        <v>8.44</v>
      </c>
      <c r="AL33" s="133">
        <f t="shared" si="32"/>
        <v>590.79999999999995</v>
      </c>
      <c r="AM33" s="133">
        <f>AJ6</f>
        <v>9.1999999999999993</v>
      </c>
      <c r="AN33" s="135">
        <f t="shared" si="33"/>
        <v>644</v>
      </c>
    </row>
    <row r="34" spans="1:40" s="53" customFormat="1" ht="15" customHeight="1" x14ac:dyDescent="0.25">
      <c r="A34" s="129">
        <f t="shared" si="34"/>
        <v>4</v>
      </c>
      <c r="B34" s="130">
        <f t="shared" si="35"/>
        <v>25</v>
      </c>
      <c r="C34" s="131" t="str">
        <f>E7</f>
        <v>1 шт</v>
      </c>
      <c r="D34" s="132" t="str">
        <f>D7</f>
        <v>Яйцо отварное 1/40</v>
      </c>
      <c r="E34" s="133">
        <f t="shared" si="18"/>
        <v>6.5</v>
      </c>
      <c r="F34" s="133">
        <f t="shared" si="19"/>
        <v>162.5</v>
      </c>
      <c r="G34" s="134">
        <v>16.25</v>
      </c>
      <c r="H34" s="133">
        <f t="shared" si="20"/>
        <v>406.25</v>
      </c>
      <c r="I34" s="133">
        <f>F7</f>
        <v>20</v>
      </c>
      <c r="J34" s="135">
        <f t="shared" si="21"/>
        <v>500</v>
      </c>
      <c r="K34" s="136">
        <f t="shared" si="36"/>
        <v>4</v>
      </c>
      <c r="L34" s="130">
        <f t="shared" si="37"/>
        <v>15</v>
      </c>
      <c r="M34" s="131" t="str">
        <f>O7</f>
        <v>1 шт</v>
      </c>
      <c r="N34" s="132" t="str">
        <f>N7</f>
        <v>Яйцо отварное 1/40</v>
      </c>
      <c r="O34" s="133">
        <f t="shared" si="22"/>
        <v>6.5</v>
      </c>
      <c r="P34" s="133">
        <f t="shared" si="23"/>
        <v>97.5</v>
      </c>
      <c r="Q34" s="134">
        <v>16.25</v>
      </c>
      <c r="R34" s="133">
        <f t="shared" si="24"/>
        <v>243.75</v>
      </c>
      <c r="S34" s="133">
        <f>P7</f>
        <v>20</v>
      </c>
      <c r="T34" s="135">
        <f t="shared" si="25"/>
        <v>300</v>
      </c>
      <c r="U34" s="129">
        <f t="shared" si="38"/>
        <v>4</v>
      </c>
      <c r="V34" s="130">
        <f t="shared" si="39"/>
        <v>27</v>
      </c>
      <c r="W34" s="131" t="str">
        <f>Y7</f>
        <v>1 шт</v>
      </c>
      <c r="X34" s="132" t="str">
        <f>X7</f>
        <v>Яйцо отварное 1/40</v>
      </c>
      <c r="Y34" s="133">
        <f t="shared" si="26"/>
        <v>6.5</v>
      </c>
      <c r="Z34" s="133">
        <f t="shared" si="27"/>
        <v>175.5</v>
      </c>
      <c r="AA34" s="134">
        <v>16.25</v>
      </c>
      <c r="AB34" s="133">
        <f t="shared" si="28"/>
        <v>438.75</v>
      </c>
      <c r="AC34" s="133">
        <f>Z7</f>
        <v>20</v>
      </c>
      <c r="AD34" s="135">
        <f t="shared" si="29"/>
        <v>540</v>
      </c>
      <c r="AE34" s="136">
        <f t="shared" si="40"/>
        <v>4</v>
      </c>
      <c r="AF34" s="130">
        <f t="shared" si="41"/>
        <v>70</v>
      </c>
      <c r="AG34" s="131" t="str">
        <f>AI7</f>
        <v>1 шт</v>
      </c>
      <c r="AH34" s="132" t="str">
        <f>AH7</f>
        <v>Яйцо отварное 1/40</v>
      </c>
      <c r="AI34" s="133">
        <f t="shared" si="30"/>
        <v>6.5</v>
      </c>
      <c r="AJ34" s="133">
        <f t="shared" si="31"/>
        <v>455</v>
      </c>
      <c r="AK34" s="134">
        <v>16.25</v>
      </c>
      <c r="AL34" s="133">
        <f t="shared" si="32"/>
        <v>1137.5</v>
      </c>
      <c r="AM34" s="133">
        <f>AJ7</f>
        <v>20</v>
      </c>
      <c r="AN34" s="135">
        <f t="shared" si="33"/>
        <v>1400</v>
      </c>
    </row>
    <row r="35" spans="1:40" s="53" customFormat="1" ht="15" customHeight="1" x14ac:dyDescent="0.25">
      <c r="A35" s="129"/>
      <c r="B35" s="130"/>
      <c r="C35" s="131"/>
      <c r="D35" s="132"/>
      <c r="E35" s="133"/>
      <c r="F35" s="133"/>
      <c r="G35" s="138"/>
      <c r="H35" s="133"/>
      <c r="I35" s="133"/>
      <c r="J35" s="135"/>
      <c r="K35" s="136"/>
      <c r="L35" s="130"/>
      <c r="M35" s="131"/>
      <c r="N35" s="132"/>
      <c r="O35" s="133"/>
      <c r="P35" s="133"/>
      <c r="Q35" s="138"/>
      <c r="R35" s="133"/>
      <c r="S35" s="133"/>
      <c r="T35" s="135"/>
      <c r="U35" s="129"/>
      <c r="V35" s="130"/>
      <c r="W35" s="131"/>
      <c r="X35" s="132"/>
      <c r="Y35" s="133"/>
      <c r="Z35" s="133"/>
      <c r="AA35" s="138"/>
      <c r="AB35" s="133"/>
      <c r="AC35" s="133"/>
      <c r="AD35" s="135"/>
      <c r="AE35" s="136"/>
      <c r="AF35" s="130"/>
      <c r="AG35" s="131"/>
      <c r="AH35" s="132"/>
      <c r="AI35" s="133"/>
      <c r="AJ35" s="133"/>
      <c r="AK35" s="138"/>
      <c r="AL35" s="133"/>
      <c r="AM35" s="133"/>
      <c r="AN35" s="135"/>
    </row>
    <row r="36" spans="1:40" s="53" customFormat="1" ht="15" customHeight="1" x14ac:dyDescent="0.25">
      <c r="A36" s="129"/>
      <c r="B36" s="139"/>
      <c r="C36" s="140"/>
      <c r="D36" s="141"/>
      <c r="E36" s="133"/>
      <c r="F36" s="133"/>
      <c r="G36" s="133"/>
      <c r="H36" s="133"/>
      <c r="I36" s="133"/>
      <c r="J36" s="135"/>
      <c r="K36" s="136"/>
      <c r="L36" s="139"/>
      <c r="M36" s="140"/>
      <c r="N36" s="141"/>
      <c r="O36" s="133"/>
      <c r="P36" s="133"/>
      <c r="Q36" s="133"/>
      <c r="R36" s="133"/>
      <c r="S36" s="133"/>
      <c r="T36" s="135"/>
      <c r="U36" s="129"/>
      <c r="V36" s="139"/>
      <c r="W36" s="140"/>
      <c r="X36" s="141"/>
      <c r="Y36" s="133"/>
      <c r="Z36" s="133"/>
      <c r="AA36" s="133"/>
      <c r="AB36" s="133"/>
      <c r="AC36" s="133"/>
      <c r="AD36" s="135"/>
      <c r="AE36" s="137"/>
      <c r="AF36" s="139"/>
      <c r="AG36" s="140"/>
      <c r="AH36" s="141"/>
      <c r="AI36" s="133"/>
      <c r="AJ36" s="133"/>
      <c r="AK36" s="133"/>
      <c r="AL36" s="133"/>
      <c r="AM36" s="133"/>
      <c r="AN36" s="135"/>
    </row>
    <row r="37" spans="1:40" s="53" customFormat="1" ht="15" customHeight="1" x14ac:dyDescent="0.25">
      <c r="A37" s="129"/>
      <c r="B37" s="142" t="s">
        <v>79</v>
      </c>
      <c r="C37" s="143"/>
      <c r="D37" s="140"/>
      <c r="E37" s="144">
        <f>SUM(E31:E36)</f>
        <v>24.522000000000002</v>
      </c>
      <c r="F37" s="144">
        <f>SUM(F31:F36)</f>
        <v>613.04999999999995</v>
      </c>
      <c r="G37" s="144">
        <f>SUM(G31:G36)</f>
        <v>61.305</v>
      </c>
      <c r="H37" s="144">
        <f>SUM(H31:H36)</f>
        <v>1532.625</v>
      </c>
      <c r="I37" s="144">
        <f>F9</f>
        <v>115.2</v>
      </c>
      <c r="J37" s="145">
        <f>I37*B31</f>
        <v>2880</v>
      </c>
      <c r="K37" s="136"/>
      <c r="L37" s="142" t="s">
        <v>79</v>
      </c>
      <c r="M37" s="143"/>
      <c r="N37" s="140"/>
      <c r="O37" s="144">
        <f>SUM(O31:O36)</f>
        <v>26.448</v>
      </c>
      <c r="P37" s="144">
        <f>SUM(P31:P36)</f>
        <v>396.72</v>
      </c>
      <c r="Q37" s="144">
        <f>SUM(Q31:Q36)</f>
        <v>66.12</v>
      </c>
      <c r="R37" s="144">
        <f>SUM(R31:R36)</f>
        <v>991.8</v>
      </c>
      <c r="S37" s="144">
        <f>P9</f>
        <v>138.60000000000002</v>
      </c>
      <c r="T37" s="145">
        <f>S37*L31</f>
        <v>2079.0000000000005</v>
      </c>
      <c r="U37" s="129"/>
      <c r="V37" s="142" t="s">
        <v>79</v>
      </c>
      <c r="W37" s="143"/>
      <c r="X37" s="140"/>
      <c r="Y37" s="144">
        <f>SUM(Y31:Y36)</f>
        <v>24.522000000000002</v>
      </c>
      <c r="Z37" s="144">
        <f>SUM(Z31:Z36)</f>
        <v>662.09400000000005</v>
      </c>
      <c r="AA37" s="144">
        <f>SUM(AA31:AA36)</f>
        <v>61.305</v>
      </c>
      <c r="AB37" s="144">
        <f>SUM(AB31:AB36)</f>
        <v>1655.2350000000001</v>
      </c>
      <c r="AC37" s="144">
        <f>Z9</f>
        <v>107.27</v>
      </c>
      <c r="AD37" s="145">
        <f>AC37*V31</f>
        <v>2896.29</v>
      </c>
      <c r="AE37" s="137"/>
      <c r="AF37" s="142" t="s">
        <v>79</v>
      </c>
      <c r="AG37" s="143"/>
      <c r="AH37" s="140"/>
      <c r="AI37" s="144">
        <f>SUM(AI31:AI36)</f>
        <v>26.448</v>
      </c>
      <c r="AJ37" s="144">
        <f>SUM(AJ31:AJ36)</f>
        <v>1851.36</v>
      </c>
      <c r="AK37" s="144">
        <f>SUM(AK31:AK36)</f>
        <v>66.12</v>
      </c>
      <c r="AL37" s="144">
        <f>SUM(AL31:AL36)</f>
        <v>4628.4000000000005</v>
      </c>
      <c r="AM37" s="144">
        <f>AJ9</f>
        <v>129.4</v>
      </c>
      <c r="AN37" s="145">
        <f>AM37*AF31</f>
        <v>9058</v>
      </c>
    </row>
    <row r="38" spans="1:40" s="53" customFormat="1" ht="15" customHeight="1" x14ac:dyDescent="0.25">
      <c r="A38" s="129"/>
      <c r="B38" s="143" t="str">
        <f>A10</f>
        <v>Обед</v>
      </c>
      <c r="C38" s="146" t="s">
        <v>80</v>
      </c>
      <c r="D38" s="147"/>
      <c r="E38" s="133"/>
      <c r="F38" s="133"/>
      <c r="G38" s="133"/>
      <c r="H38" s="133"/>
      <c r="I38" s="133"/>
      <c r="J38" s="135"/>
      <c r="K38" s="136"/>
      <c r="L38" s="143" t="str">
        <f>K10</f>
        <v>Обед</v>
      </c>
      <c r="M38" s="146" t="s">
        <v>80</v>
      </c>
      <c r="N38" s="147"/>
      <c r="O38" s="133"/>
      <c r="P38" s="133"/>
      <c r="Q38" s="133"/>
      <c r="R38" s="133"/>
      <c r="S38" s="133"/>
      <c r="T38" s="135"/>
      <c r="U38" s="129"/>
      <c r="V38" s="143" t="str">
        <f>U10</f>
        <v>Обед</v>
      </c>
      <c r="W38" s="146" t="s">
        <v>80</v>
      </c>
      <c r="X38" s="147"/>
      <c r="Y38" s="133"/>
      <c r="Z38" s="133"/>
      <c r="AA38" s="134"/>
      <c r="AB38" s="133"/>
      <c r="AC38" s="133"/>
      <c r="AD38" s="135"/>
      <c r="AE38" s="137"/>
      <c r="AF38" s="143" t="str">
        <f>AE10</f>
        <v>Обед</v>
      </c>
      <c r="AG38" s="146" t="s">
        <v>80</v>
      </c>
      <c r="AH38" s="147"/>
      <c r="AI38" s="133"/>
      <c r="AJ38" s="133"/>
      <c r="AK38" s="133"/>
      <c r="AL38" s="133"/>
      <c r="AM38" s="133"/>
      <c r="AN38" s="135"/>
    </row>
    <row r="39" spans="1:40" s="53" customFormat="1" ht="15" customHeight="1" x14ac:dyDescent="0.25">
      <c r="A39" s="136">
        <v>1</v>
      </c>
      <c r="B39" s="148">
        <f>C10</f>
        <v>25</v>
      </c>
      <c r="C39" s="149" t="str">
        <f t="shared" ref="C39:C44" si="42">E10</f>
        <v>1/50</v>
      </c>
      <c r="D39" s="150" t="str">
        <f t="shared" ref="D39:D44" si="43">D10</f>
        <v>Салат из свеклы с зеленым горошком</v>
      </c>
      <c r="E39" s="133">
        <f t="shared" ref="E39:E44" si="44">G39/2.5</f>
        <v>3.1640000000000001</v>
      </c>
      <c r="F39" s="133">
        <f t="shared" ref="F39:F44" si="45">E39*B39</f>
        <v>79.100000000000009</v>
      </c>
      <c r="G39" s="134">
        <v>7.91</v>
      </c>
      <c r="H39" s="133">
        <f t="shared" ref="H39:H44" si="46">G39*B39</f>
        <v>197.75</v>
      </c>
      <c r="I39" s="133">
        <f t="shared" ref="I39:I44" si="47">F10</f>
        <v>15</v>
      </c>
      <c r="J39" s="135">
        <f t="shared" ref="J39:J44" si="48">I39*B39</f>
        <v>375</v>
      </c>
      <c r="K39" s="136">
        <v>1</v>
      </c>
      <c r="L39" s="148">
        <f>M10</f>
        <v>52</v>
      </c>
      <c r="M39" s="149" t="str">
        <f t="shared" ref="M39:M44" si="49">O10</f>
        <v>1/50</v>
      </c>
      <c r="N39" s="150" t="str">
        <f t="shared" ref="N39:N44" si="50">N10</f>
        <v>Салат из свеклы с зеленым горошком</v>
      </c>
      <c r="O39" s="133">
        <f t="shared" ref="O39:O44" si="51">Q39/2.5</f>
        <v>3.1640000000000001</v>
      </c>
      <c r="P39" s="133">
        <f t="shared" ref="P39:P44" si="52">O39*L39</f>
        <v>164.52800000000002</v>
      </c>
      <c r="Q39" s="134">
        <v>7.91</v>
      </c>
      <c r="R39" s="133">
        <f t="shared" ref="R39:R44" si="53">Q39*L39</f>
        <v>411.32</v>
      </c>
      <c r="S39" s="133">
        <f t="shared" ref="S39:S44" si="54">P10</f>
        <v>15</v>
      </c>
      <c r="T39" s="135">
        <f t="shared" ref="T39:T44" si="55">S39*L39</f>
        <v>780</v>
      </c>
      <c r="U39" s="136">
        <v>1</v>
      </c>
      <c r="V39" s="148">
        <f>W10</f>
        <v>27</v>
      </c>
      <c r="W39" s="149" t="str">
        <f t="shared" ref="W39:W44" si="56">Y10</f>
        <v>1/50</v>
      </c>
      <c r="X39" s="150" t="str">
        <f t="shared" ref="X39:X44" si="57">X10</f>
        <v>Салат из свеклы с зеленым горошком</v>
      </c>
      <c r="Y39" s="133">
        <f t="shared" ref="Y39:Y44" si="58">AA39/2.5</f>
        <v>3.1640000000000001</v>
      </c>
      <c r="Z39" s="133">
        <f t="shared" ref="Z39:Z44" si="59">Y39*V39</f>
        <v>85.427999999999997</v>
      </c>
      <c r="AA39" s="134">
        <v>7.91</v>
      </c>
      <c r="AB39" s="133">
        <f t="shared" ref="AB39:AB44" si="60">AA39*V39</f>
        <v>213.57</v>
      </c>
      <c r="AC39" s="133">
        <f t="shared" ref="AC39:AC44" si="61">Z10</f>
        <v>15</v>
      </c>
      <c r="AD39" s="135">
        <f t="shared" ref="AD39:AD44" si="62">AC39*V39</f>
        <v>405</v>
      </c>
      <c r="AE39" s="137">
        <v>1</v>
      </c>
      <c r="AF39" s="148">
        <f>AG10</f>
        <v>78</v>
      </c>
      <c r="AG39" s="149" t="str">
        <f t="shared" ref="AG39:AG44" si="63">AI10</f>
        <v>1/50</v>
      </c>
      <c r="AH39" s="150" t="str">
        <f t="shared" ref="AH39:AH44" si="64">AH10</f>
        <v>Салат из свеклы с зеленым горошком</v>
      </c>
      <c r="AI39" s="133">
        <f t="shared" ref="AI39:AI44" si="65">AK39/2.5</f>
        <v>3.1640000000000001</v>
      </c>
      <c r="AJ39" s="133">
        <f t="shared" ref="AJ39:AJ44" si="66">AI39*AF39</f>
        <v>246.792</v>
      </c>
      <c r="AK39" s="134">
        <v>7.91</v>
      </c>
      <c r="AL39" s="133">
        <f t="shared" ref="AL39:AL44" si="67">AK39*AF39</f>
        <v>616.98</v>
      </c>
      <c r="AM39" s="133">
        <f t="shared" ref="AM39:AM44" si="68">AJ10</f>
        <v>15</v>
      </c>
      <c r="AN39" s="135">
        <f t="shared" ref="AN39:AN44" si="69">AM39*AF39</f>
        <v>1170</v>
      </c>
    </row>
    <row r="40" spans="1:40" s="53" customFormat="1" ht="15" customHeight="1" x14ac:dyDescent="0.25">
      <c r="A40" s="136">
        <f t="shared" ref="A40:A44" si="70">A39+1</f>
        <v>2</v>
      </c>
      <c r="B40" s="130">
        <f t="shared" ref="B40:B44" si="71">B39</f>
        <v>25</v>
      </c>
      <c r="C40" s="149" t="str">
        <f t="shared" si="42"/>
        <v>250/15</v>
      </c>
      <c r="D40" s="150" t="str">
        <f t="shared" si="43"/>
        <v>Суп картофельный рисовый, с курицей</v>
      </c>
      <c r="E40" s="133">
        <f t="shared" si="44"/>
        <v>21.508000000000003</v>
      </c>
      <c r="F40" s="133">
        <f t="shared" si="45"/>
        <v>537.70000000000005</v>
      </c>
      <c r="G40" s="151">
        <v>53.77</v>
      </c>
      <c r="H40" s="133">
        <f t="shared" si="46"/>
        <v>1344.25</v>
      </c>
      <c r="I40" s="133">
        <f t="shared" si="47"/>
        <v>75</v>
      </c>
      <c r="J40" s="135">
        <f t="shared" si="48"/>
        <v>1875</v>
      </c>
      <c r="K40" s="136">
        <f t="shared" ref="K40:K44" si="72">K39+1</f>
        <v>2</v>
      </c>
      <c r="L40" s="130">
        <f t="shared" ref="L40:L44" si="73">L39</f>
        <v>52</v>
      </c>
      <c r="M40" s="149" t="str">
        <f t="shared" si="49"/>
        <v>250/10</v>
      </c>
      <c r="N40" s="150" t="str">
        <f t="shared" si="50"/>
        <v>Суп картофельный рисовый, с курицей</v>
      </c>
      <c r="O40" s="133">
        <f t="shared" si="51"/>
        <v>36.024000000000001</v>
      </c>
      <c r="P40" s="133">
        <f t="shared" si="52"/>
        <v>1873.248</v>
      </c>
      <c r="Q40" s="151">
        <v>90.06</v>
      </c>
      <c r="R40" s="133">
        <f t="shared" si="53"/>
        <v>4683.12</v>
      </c>
      <c r="S40" s="133">
        <f t="shared" si="54"/>
        <v>70</v>
      </c>
      <c r="T40" s="135">
        <f t="shared" si="55"/>
        <v>3640</v>
      </c>
      <c r="U40" s="136">
        <f t="shared" ref="U40:U44" si="74">U39+1</f>
        <v>2</v>
      </c>
      <c r="V40" s="130">
        <f t="shared" ref="V40:V44" si="75">V39</f>
        <v>27</v>
      </c>
      <c r="W40" s="149" t="str">
        <f t="shared" si="56"/>
        <v>250/15</v>
      </c>
      <c r="X40" s="150" t="str">
        <f t="shared" si="57"/>
        <v>Суп картофельный рисовый, с курицей</v>
      </c>
      <c r="Y40" s="133">
        <f t="shared" si="58"/>
        <v>21.508000000000003</v>
      </c>
      <c r="Z40" s="133">
        <f t="shared" si="59"/>
        <v>580.71600000000012</v>
      </c>
      <c r="AA40" s="151">
        <v>53.77</v>
      </c>
      <c r="AB40" s="133">
        <f t="shared" si="60"/>
        <v>1451.7900000000002</v>
      </c>
      <c r="AC40" s="133">
        <f t="shared" si="61"/>
        <v>70</v>
      </c>
      <c r="AD40" s="135">
        <f t="shared" si="62"/>
        <v>1890</v>
      </c>
      <c r="AE40" s="137">
        <f t="shared" ref="AE40:AE44" si="76">AE39+1</f>
        <v>2</v>
      </c>
      <c r="AF40" s="130">
        <f t="shared" ref="AF40:AF44" si="77">AF39</f>
        <v>78</v>
      </c>
      <c r="AG40" s="149" t="str">
        <f t="shared" si="63"/>
        <v>250/10</v>
      </c>
      <c r="AH40" s="150" t="str">
        <f t="shared" si="64"/>
        <v>Суп картофельный рисовый, с курицей</v>
      </c>
      <c r="AI40" s="133">
        <f t="shared" si="65"/>
        <v>36.024000000000001</v>
      </c>
      <c r="AJ40" s="133">
        <f t="shared" si="66"/>
        <v>2809.8720000000003</v>
      </c>
      <c r="AK40" s="151">
        <v>90.06</v>
      </c>
      <c r="AL40" s="133">
        <f t="shared" si="67"/>
        <v>7024.68</v>
      </c>
      <c r="AM40" s="133">
        <f t="shared" si="68"/>
        <v>65</v>
      </c>
      <c r="AN40" s="135">
        <f t="shared" si="69"/>
        <v>5070</v>
      </c>
    </row>
    <row r="41" spans="1:40" s="53" customFormat="1" ht="15" customHeight="1" x14ac:dyDescent="0.25">
      <c r="A41" s="129">
        <f t="shared" si="70"/>
        <v>3</v>
      </c>
      <c r="B41" s="130">
        <f t="shared" si="71"/>
        <v>25</v>
      </c>
      <c r="C41" s="149" t="str">
        <f t="shared" si="42"/>
        <v>1/200</v>
      </c>
      <c r="D41" s="150" t="str">
        <f t="shared" si="43"/>
        <v>Жаркое по-Домашнему</v>
      </c>
      <c r="E41" s="133">
        <f t="shared" si="44"/>
        <v>44.620800000000003</v>
      </c>
      <c r="F41" s="133">
        <f t="shared" si="45"/>
        <v>1115.52</v>
      </c>
      <c r="G41" s="134">
        <f>139.44/25*20</f>
        <v>111.55200000000001</v>
      </c>
      <c r="H41" s="133">
        <f t="shared" si="46"/>
        <v>2788.8</v>
      </c>
      <c r="I41" s="133">
        <f t="shared" si="47"/>
        <v>84.6</v>
      </c>
      <c r="J41" s="135">
        <f t="shared" si="48"/>
        <v>2115</v>
      </c>
      <c r="K41" s="136">
        <f t="shared" si="72"/>
        <v>3</v>
      </c>
      <c r="L41" s="130">
        <f t="shared" si="73"/>
        <v>52</v>
      </c>
      <c r="M41" s="149" t="str">
        <f t="shared" si="49"/>
        <v>1/250</v>
      </c>
      <c r="N41" s="150" t="str">
        <f t="shared" si="50"/>
        <v>Жаркое по-Домашнему</v>
      </c>
      <c r="O41" s="133">
        <f t="shared" si="51"/>
        <v>55.775999999999996</v>
      </c>
      <c r="P41" s="133">
        <f t="shared" si="52"/>
        <v>2900.3519999999999</v>
      </c>
      <c r="Q41" s="134">
        <f>139.44</f>
        <v>139.44</v>
      </c>
      <c r="R41" s="133">
        <f t="shared" si="53"/>
        <v>7250.88</v>
      </c>
      <c r="S41" s="133">
        <f t="shared" si="54"/>
        <v>102.2</v>
      </c>
      <c r="T41" s="135">
        <f t="shared" si="55"/>
        <v>5314.4000000000005</v>
      </c>
      <c r="U41" s="129">
        <f t="shared" si="74"/>
        <v>3</v>
      </c>
      <c r="V41" s="130">
        <f t="shared" si="75"/>
        <v>27</v>
      </c>
      <c r="W41" s="149" t="str">
        <f t="shared" si="56"/>
        <v>1/200</v>
      </c>
      <c r="X41" s="150" t="str">
        <f t="shared" si="57"/>
        <v>Жаркое по-Домашнему</v>
      </c>
      <c r="Y41" s="133">
        <f t="shared" si="58"/>
        <v>44.620800000000003</v>
      </c>
      <c r="Z41" s="133">
        <f t="shared" si="59"/>
        <v>1204.7616</v>
      </c>
      <c r="AA41" s="134">
        <f>139.44/25*20</f>
        <v>111.55200000000001</v>
      </c>
      <c r="AB41" s="133">
        <f t="shared" si="60"/>
        <v>3011.904</v>
      </c>
      <c r="AC41" s="133">
        <f t="shared" si="61"/>
        <v>76.87</v>
      </c>
      <c r="AD41" s="135">
        <f t="shared" si="62"/>
        <v>2075.4900000000002</v>
      </c>
      <c r="AE41" s="137">
        <f t="shared" si="76"/>
        <v>3</v>
      </c>
      <c r="AF41" s="130">
        <f t="shared" si="77"/>
        <v>78</v>
      </c>
      <c r="AG41" s="149" t="str">
        <f t="shared" si="63"/>
        <v>1/250</v>
      </c>
      <c r="AH41" s="150" t="str">
        <f t="shared" si="64"/>
        <v>Жаркое по-Домашнему</v>
      </c>
      <c r="AI41" s="133">
        <f t="shared" si="65"/>
        <v>55.775999999999996</v>
      </c>
      <c r="AJ41" s="133">
        <f t="shared" si="66"/>
        <v>4350.5279999999993</v>
      </c>
      <c r="AK41" s="134">
        <f>139.44</f>
        <v>139.44</v>
      </c>
      <c r="AL41" s="133">
        <f t="shared" si="67"/>
        <v>10876.32</v>
      </c>
      <c r="AM41" s="133">
        <f t="shared" si="68"/>
        <v>93.727500000000006</v>
      </c>
      <c r="AN41" s="135">
        <f t="shared" si="69"/>
        <v>7310.7450000000008</v>
      </c>
    </row>
    <row r="42" spans="1:40" s="53" customFormat="1" ht="15" customHeight="1" x14ac:dyDescent="0.25">
      <c r="A42" s="129">
        <f t="shared" si="70"/>
        <v>4</v>
      </c>
      <c r="B42" s="130">
        <f t="shared" si="71"/>
        <v>25</v>
      </c>
      <c r="C42" s="149" t="str">
        <f t="shared" si="42"/>
        <v>1/200</v>
      </c>
      <c r="D42" s="150" t="str">
        <f t="shared" si="43"/>
        <v>Компот из сухофруктов</v>
      </c>
      <c r="E42" s="133">
        <f t="shared" si="44"/>
        <v>8</v>
      </c>
      <c r="F42" s="133">
        <f t="shared" si="45"/>
        <v>200</v>
      </c>
      <c r="G42" s="134">
        <v>20</v>
      </c>
      <c r="H42" s="133">
        <f t="shared" si="46"/>
        <v>500</v>
      </c>
      <c r="I42" s="133">
        <f t="shared" si="47"/>
        <v>24</v>
      </c>
      <c r="J42" s="135">
        <f t="shared" si="48"/>
        <v>600</v>
      </c>
      <c r="K42" s="136">
        <f t="shared" si="72"/>
        <v>4</v>
      </c>
      <c r="L42" s="130">
        <f t="shared" si="73"/>
        <v>52</v>
      </c>
      <c r="M42" s="149" t="str">
        <f t="shared" si="49"/>
        <v>1/200</v>
      </c>
      <c r="N42" s="150" t="str">
        <f t="shared" si="50"/>
        <v>Компот из сухофруктов</v>
      </c>
      <c r="O42" s="133">
        <f t="shared" si="51"/>
        <v>8</v>
      </c>
      <c r="P42" s="133">
        <f t="shared" si="52"/>
        <v>416</v>
      </c>
      <c r="Q42" s="134">
        <v>20</v>
      </c>
      <c r="R42" s="133">
        <f t="shared" si="53"/>
        <v>1040</v>
      </c>
      <c r="S42" s="133">
        <f t="shared" si="54"/>
        <v>24</v>
      </c>
      <c r="T42" s="135">
        <f t="shared" si="55"/>
        <v>1248</v>
      </c>
      <c r="U42" s="129">
        <f t="shared" si="74"/>
        <v>4</v>
      </c>
      <c r="V42" s="130">
        <f t="shared" si="75"/>
        <v>27</v>
      </c>
      <c r="W42" s="149" t="str">
        <f t="shared" si="56"/>
        <v>1/200</v>
      </c>
      <c r="X42" s="150" t="str">
        <f t="shared" si="57"/>
        <v>Компот из сухофруктов</v>
      </c>
      <c r="Y42" s="133">
        <f t="shared" si="58"/>
        <v>8</v>
      </c>
      <c r="Z42" s="133">
        <f t="shared" si="59"/>
        <v>216</v>
      </c>
      <c r="AA42" s="134">
        <v>20</v>
      </c>
      <c r="AB42" s="133">
        <f t="shared" si="60"/>
        <v>540</v>
      </c>
      <c r="AC42" s="133">
        <f t="shared" si="61"/>
        <v>24</v>
      </c>
      <c r="AD42" s="135">
        <f t="shared" si="62"/>
        <v>648</v>
      </c>
      <c r="AE42" s="137">
        <f t="shared" si="76"/>
        <v>4</v>
      </c>
      <c r="AF42" s="130">
        <f t="shared" si="77"/>
        <v>78</v>
      </c>
      <c r="AG42" s="149" t="str">
        <f t="shared" si="63"/>
        <v>1/200</v>
      </c>
      <c r="AH42" s="150" t="str">
        <f t="shared" si="64"/>
        <v>Компот из сухофруктов</v>
      </c>
      <c r="AI42" s="133">
        <f t="shared" si="65"/>
        <v>8</v>
      </c>
      <c r="AJ42" s="133">
        <f t="shared" si="66"/>
        <v>624</v>
      </c>
      <c r="AK42" s="134">
        <v>20</v>
      </c>
      <c r="AL42" s="133">
        <f t="shared" si="67"/>
        <v>1560</v>
      </c>
      <c r="AM42" s="133">
        <f t="shared" si="68"/>
        <v>24</v>
      </c>
      <c r="AN42" s="135">
        <f t="shared" si="69"/>
        <v>1872</v>
      </c>
    </row>
    <row r="43" spans="1:40" s="53" customFormat="1" ht="15" customHeight="1" x14ac:dyDescent="0.25">
      <c r="A43" s="129">
        <f t="shared" si="70"/>
        <v>5</v>
      </c>
      <c r="B43" s="130">
        <f t="shared" si="71"/>
        <v>25</v>
      </c>
      <c r="C43" s="149" t="str">
        <f t="shared" si="42"/>
        <v>0,030</v>
      </c>
      <c r="D43" s="150" t="str">
        <f t="shared" si="43"/>
        <v>Хлеб пшеничный</v>
      </c>
      <c r="E43" s="133">
        <f t="shared" si="44"/>
        <v>2.4</v>
      </c>
      <c r="F43" s="133">
        <f t="shared" si="45"/>
        <v>60</v>
      </c>
      <c r="G43" s="134">
        <v>6</v>
      </c>
      <c r="H43" s="133">
        <f t="shared" si="46"/>
        <v>150</v>
      </c>
      <c r="I43" s="133">
        <f t="shared" si="47"/>
        <v>6</v>
      </c>
      <c r="J43" s="135">
        <f t="shared" si="48"/>
        <v>150</v>
      </c>
      <c r="K43" s="136">
        <f t="shared" si="72"/>
        <v>5</v>
      </c>
      <c r="L43" s="130">
        <f t="shared" si="73"/>
        <v>52</v>
      </c>
      <c r="M43" s="149" t="str">
        <f t="shared" si="49"/>
        <v>0,030</v>
      </c>
      <c r="N43" s="150" t="str">
        <f t="shared" si="50"/>
        <v>Хлеб пшеничный</v>
      </c>
      <c r="O43" s="133">
        <f t="shared" si="51"/>
        <v>2.4</v>
      </c>
      <c r="P43" s="133">
        <f t="shared" si="52"/>
        <v>124.8</v>
      </c>
      <c r="Q43" s="134">
        <v>6</v>
      </c>
      <c r="R43" s="133">
        <f t="shared" si="53"/>
        <v>312</v>
      </c>
      <c r="S43" s="133">
        <f t="shared" si="54"/>
        <v>6</v>
      </c>
      <c r="T43" s="135">
        <f t="shared" si="55"/>
        <v>312</v>
      </c>
      <c r="U43" s="129">
        <f t="shared" si="74"/>
        <v>5</v>
      </c>
      <c r="V43" s="130">
        <f t="shared" si="75"/>
        <v>27</v>
      </c>
      <c r="W43" s="149" t="str">
        <f t="shared" si="56"/>
        <v>0,030</v>
      </c>
      <c r="X43" s="150" t="str">
        <f t="shared" si="57"/>
        <v>Хлеб пшеничный</v>
      </c>
      <c r="Y43" s="133">
        <f t="shared" si="58"/>
        <v>2.4</v>
      </c>
      <c r="Z43" s="133">
        <f t="shared" si="59"/>
        <v>64.8</v>
      </c>
      <c r="AA43" s="134">
        <v>6</v>
      </c>
      <c r="AB43" s="133">
        <f t="shared" si="60"/>
        <v>162</v>
      </c>
      <c r="AC43" s="133">
        <f t="shared" si="61"/>
        <v>6</v>
      </c>
      <c r="AD43" s="135">
        <f t="shared" si="62"/>
        <v>162</v>
      </c>
      <c r="AE43" s="137">
        <f t="shared" si="76"/>
        <v>5</v>
      </c>
      <c r="AF43" s="130">
        <f t="shared" si="77"/>
        <v>78</v>
      </c>
      <c r="AG43" s="149" t="str">
        <f t="shared" si="63"/>
        <v>0,030</v>
      </c>
      <c r="AH43" s="150" t="str">
        <f t="shared" si="64"/>
        <v>Хлеб пшеничный</v>
      </c>
      <c r="AI43" s="133">
        <f t="shared" si="65"/>
        <v>2.4</v>
      </c>
      <c r="AJ43" s="133">
        <f t="shared" si="66"/>
        <v>187.2</v>
      </c>
      <c r="AK43" s="134">
        <v>6</v>
      </c>
      <c r="AL43" s="133">
        <f t="shared" si="67"/>
        <v>468</v>
      </c>
      <c r="AM43" s="133">
        <f t="shared" si="68"/>
        <v>6</v>
      </c>
      <c r="AN43" s="135">
        <f t="shared" si="69"/>
        <v>468</v>
      </c>
    </row>
    <row r="44" spans="1:40" s="53" customFormat="1" ht="15" customHeight="1" x14ac:dyDescent="0.25">
      <c r="A44" s="129">
        <f t="shared" si="70"/>
        <v>6</v>
      </c>
      <c r="B44" s="130">
        <f t="shared" si="71"/>
        <v>25</v>
      </c>
      <c r="C44" s="149" t="str">
        <f t="shared" si="42"/>
        <v>0,030</v>
      </c>
      <c r="D44" s="150" t="str">
        <f t="shared" si="43"/>
        <v>Хлеб ржано-пшеничный</v>
      </c>
      <c r="E44" s="133">
        <f t="shared" si="44"/>
        <v>2.4</v>
      </c>
      <c r="F44" s="133">
        <f t="shared" si="45"/>
        <v>60</v>
      </c>
      <c r="G44" s="134">
        <v>6</v>
      </c>
      <c r="H44" s="133">
        <f t="shared" si="46"/>
        <v>150</v>
      </c>
      <c r="I44" s="133">
        <f t="shared" si="47"/>
        <v>6</v>
      </c>
      <c r="J44" s="135">
        <f t="shared" si="48"/>
        <v>150</v>
      </c>
      <c r="K44" s="136">
        <f t="shared" si="72"/>
        <v>6</v>
      </c>
      <c r="L44" s="130">
        <f t="shared" si="73"/>
        <v>52</v>
      </c>
      <c r="M44" s="149" t="str">
        <f t="shared" si="49"/>
        <v>0,030</v>
      </c>
      <c r="N44" s="150" t="str">
        <f t="shared" si="50"/>
        <v>Хлеб ржано-пшеничный</v>
      </c>
      <c r="O44" s="133">
        <f t="shared" si="51"/>
        <v>2.4</v>
      </c>
      <c r="P44" s="133">
        <f t="shared" si="52"/>
        <v>124.8</v>
      </c>
      <c r="Q44" s="134">
        <v>6</v>
      </c>
      <c r="R44" s="133">
        <f t="shared" si="53"/>
        <v>312</v>
      </c>
      <c r="S44" s="133">
        <f t="shared" si="54"/>
        <v>6</v>
      </c>
      <c r="T44" s="135">
        <f t="shared" si="55"/>
        <v>312</v>
      </c>
      <c r="U44" s="129">
        <f t="shared" si="74"/>
        <v>6</v>
      </c>
      <c r="V44" s="130">
        <f t="shared" si="75"/>
        <v>27</v>
      </c>
      <c r="W44" s="149" t="str">
        <f t="shared" si="56"/>
        <v>0,030</v>
      </c>
      <c r="X44" s="150" t="str">
        <f t="shared" si="57"/>
        <v>Хлеб ржано-пшеничный</v>
      </c>
      <c r="Y44" s="133">
        <f t="shared" si="58"/>
        <v>2.4</v>
      </c>
      <c r="Z44" s="133">
        <f t="shared" si="59"/>
        <v>64.8</v>
      </c>
      <c r="AA44" s="134">
        <v>6</v>
      </c>
      <c r="AB44" s="133">
        <f t="shared" si="60"/>
        <v>162</v>
      </c>
      <c r="AC44" s="133">
        <f t="shared" si="61"/>
        <v>6</v>
      </c>
      <c r="AD44" s="135">
        <f t="shared" si="62"/>
        <v>162</v>
      </c>
      <c r="AE44" s="137">
        <f t="shared" si="76"/>
        <v>6</v>
      </c>
      <c r="AF44" s="130">
        <f t="shared" si="77"/>
        <v>78</v>
      </c>
      <c r="AG44" s="149" t="str">
        <f t="shared" si="63"/>
        <v>0,030</v>
      </c>
      <c r="AH44" s="150" t="str">
        <f t="shared" si="64"/>
        <v>Хлеб ржано-пшеничный</v>
      </c>
      <c r="AI44" s="133">
        <f t="shared" si="65"/>
        <v>2.4</v>
      </c>
      <c r="AJ44" s="133">
        <f t="shared" si="66"/>
        <v>187.2</v>
      </c>
      <c r="AK44" s="134">
        <v>6</v>
      </c>
      <c r="AL44" s="133">
        <f t="shared" si="67"/>
        <v>468</v>
      </c>
      <c r="AM44" s="133">
        <f t="shared" si="68"/>
        <v>6</v>
      </c>
      <c r="AN44" s="135">
        <f t="shared" si="69"/>
        <v>468</v>
      </c>
    </row>
    <row r="45" spans="1:40" s="53" customFormat="1" ht="15" customHeight="1" x14ac:dyDescent="0.25">
      <c r="A45" s="129"/>
      <c r="B45" s="130"/>
      <c r="C45" s="149"/>
      <c r="D45" s="150"/>
      <c r="E45" s="133"/>
      <c r="F45" s="133"/>
      <c r="G45" s="134"/>
      <c r="H45" s="133"/>
      <c r="I45" s="133"/>
      <c r="J45" s="135"/>
      <c r="K45" s="136"/>
      <c r="L45" s="130"/>
      <c r="M45" s="149"/>
      <c r="N45" s="150"/>
      <c r="O45" s="133"/>
      <c r="P45" s="133"/>
      <c r="Q45" s="134"/>
      <c r="R45" s="133"/>
      <c r="S45" s="133"/>
      <c r="T45" s="135"/>
      <c r="U45" s="129"/>
      <c r="V45" s="130"/>
      <c r="W45" s="149"/>
      <c r="X45" s="150"/>
      <c r="Y45" s="133"/>
      <c r="Z45" s="133"/>
      <c r="AA45" s="134"/>
      <c r="AB45" s="133"/>
      <c r="AC45" s="133"/>
      <c r="AD45" s="135"/>
      <c r="AE45" s="137"/>
      <c r="AF45" s="130"/>
      <c r="AG45" s="149"/>
      <c r="AH45" s="150"/>
      <c r="AI45" s="133"/>
      <c r="AJ45" s="133"/>
      <c r="AK45" s="134"/>
      <c r="AL45" s="133"/>
      <c r="AM45" s="133"/>
      <c r="AN45" s="135"/>
    </row>
    <row r="46" spans="1:40" s="53" customFormat="1" ht="15" customHeight="1" x14ac:dyDescent="0.25">
      <c r="A46" s="129"/>
      <c r="B46" s="139"/>
      <c r="C46" s="140"/>
      <c r="D46" s="133"/>
      <c r="E46" s="133"/>
      <c r="F46" s="133"/>
      <c r="G46" s="133"/>
      <c r="H46" s="133"/>
      <c r="I46" s="133"/>
      <c r="J46" s="135"/>
      <c r="K46" s="136"/>
      <c r="L46" s="139"/>
      <c r="M46" s="140"/>
      <c r="N46" s="133"/>
      <c r="O46" s="133"/>
      <c r="P46" s="133"/>
      <c r="Q46" s="133"/>
      <c r="R46" s="133"/>
      <c r="S46" s="133"/>
      <c r="T46" s="135"/>
      <c r="U46" s="129"/>
      <c r="V46" s="139"/>
      <c r="W46" s="140"/>
      <c r="X46" s="133"/>
      <c r="Y46" s="133"/>
      <c r="Z46" s="133"/>
      <c r="AA46" s="133"/>
      <c r="AB46" s="133"/>
      <c r="AC46" s="133"/>
      <c r="AD46" s="135"/>
      <c r="AE46" s="137"/>
      <c r="AF46" s="139"/>
      <c r="AG46" s="140"/>
      <c r="AH46" s="133"/>
      <c r="AI46" s="133"/>
      <c r="AJ46" s="133"/>
      <c r="AK46" s="133"/>
      <c r="AL46" s="133"/>
      <c r="AM46" s="133"/>
      <c r="AN46" s="135"/>
    </row>
    <row r="47" spans="1:40" s="53" customFormat="1" ht="15" customHeight="1" x14ac:dyDescent="0.25">
      <c r="A47" s="129"/>
      <c r="B47" s="142" t="s">
        <v>79</v>
      </c>
      <c r="C47" s="143"/>
      <c r="D47" s="140"/>
      <c r="E47" s="144">
        <f>SUM(E39:E45)</f>
        <v>82.092800000000011</v>
      </c>
      <c r="F47" s="144">
        <f>SUM(F39:F45)</f>
        <v>2052.3200000000002</v>
      </c>
      <c r="G47" s="144">
        <f>SUM(G39:G45)</f>
        <v>205.23200000000003</v>
      </c>
      <c r="H47" s="144">
        <f t="shared" ref="H47" si="78">SUM(H39:H45)</f>
        <v>5130.8</v>
      </c>
      <c r="I47" s="144">
        <f>F17</f>
        <v>210.6</v>
      </c>
      <c r="J47" s="145">
        <f>I47*B41</f>
        <v>5265</v>
      </c>
      <c r="K47" s="136"/>
      <c r="L47" s="142" t="s">
        <v>79</v>
      </c>
      <c r="M47" s="143"/>
      <c r="N47" s="140"/>
      <c r="O47" s="144">
        <f>SUM(O39:O45)</f>
        <v>107.76400000000001</v>
      </c>
      <c r="P47" s="144">
        <f t="shared" ref="P47:R47" si="79">SUM(P39:P45)</f>
        <v>5603.7280000000001</v>
      </c>
      <c r="Q47" s="144">
        <f t="shared" si="79"/>
        <v>269.40999999999997</v>
      </c>
      <c r="R47" s="144">
        <f t="shared" si="79"/>
        <v>14009.32</v>
      </c>
      <c r="S47" s="144">
        <f>P17</f>
        <v>223.2</v>
      </c>
      <c r="T47" s="145">
        <f>S47*L41</f>
        <v>11606.4</v>
      </c>
      <c r="U47" s="129"/>
      <c r="V47" s="142" t="s">
        <v>79</v>
      </c>
      <c r="W47" s="143"/>
      <c r="X47" s="140"/>
      <c r="Y47" s="144">
        <f>SUM(Y39:Y45)</f>
        <v>82.092800000000011</v>
      </c>
      <c r="Z47" s="144">
        <f t="shared" ref="Z47:AB47" si="80">SUM(Z39:Z45)</f>
        <v>2216.5056000000004</v>
      </c>
      <c r="AA47" s="144">
        <f t="shared" si="80"/>
        <v>205.23200000000003</v>
      </c>
      <c r="AB47" s="144">
        <f t="shared" si="80"/>
        <v>5541.2640000000001</v>
      </c>
      <c r="AC47" s="144">
        <f>Z17</f>
        <v>197.87</v>
      </c>
      <c r="AD47" s="145">
        <f>AC47*V41</f>
        <v>5342.49</v>
      </c>
      <c r="AE47" s="137"/>
      <c r="AF47" s="142" t="s">
        <v>79</v>
      </c>
      <c r="AG47" s="143"/>
      <c r="AH47" s="140"/>
      <c r="AI47" s="144">
        <f>SUM(AI39:AI45)</f>
        <v>107.76400000000001</v>
      </c>
      <c r="AJ47" s="144">
        <f t="shared" ref="AJ47:AL47" si="81">SUM(AJ39:AJ45)</f>
        <v>8405.5920000000006</v>
      </c>
      <c r="AK47" s="144">
        <f t="shared" si="81"/>
        <v>269.40999999999997</v>
      </c>
      <c r="AL47" s="144">
        <f t="shared" si="81"/>
        <v>21013.98</v>
      </c>
      <c r="AM47" s="144">
        <f>AJ17</f>
        <v>209.72750000000002</v>
      </c>
      <c r="AN47" s="145">
        <f>AM47*AF41</f>
        <v>16358.745000000001</v>
      </c>
    </row>
    <row r="48" spans="1:40" s="53" customFormat="1" ht="15" customHeight="1" x14ac:dyDescent="0.25">
      <c r="A48" s="129"/>
      <c r="B48" s="143" t="str">
        <f>A18</f>
        <v>Полдник</v>
      </c>
      <c r="C48" s="140"/>
      <c r="D48" s="140"/>
      <c r="E48" s="133"/>
      <c r="F48" s="133"/>
      <c r="G48" s="133"/>
      <c r="H48" s="133"/>
      <c r="I48" s="133"/>
      <c r="J48" s="145"/>
      <c r="K48" s="136"/>
      <c r="L48" s="143" t="str">
        <f>K18</f>
        <v>Полдник</v>
      </c>
      <c r="M48" s="140"/>
      <c r="N48" s="140"/>
      <c r="O48" s="133"/>
      <c r="P48" s="133"/>
      <c r="Q48" s="133"/>
      <c r="R48" s="133"/>
      <c r="S48" s="133"/>
      <c r="T48" s="145"/>
      <c r="U48" s="129"/>
      <c r="V48" s="143" t="str">
        <f>U18</f>
        <v>Полдник</v>
      </c>
      <c r="W48" s="140"/>
      <c r="X48" s="140"/>
      <c r="Y48" s="133"/>
      <c r="Z48" s="133"/>
      <c r="AA48" s="133"/>
      <c r="AB48" s="133"/>
      <c r="AC48" s="133"/>
      <c r="AD48" s="145"/>
      <c r="AE48" s="137"/>
      <c r="AF48" s="143" t="str">
        <f>AE18</f>
        <v>Полдник</v>
      </c>
      <c r="AG48" s="140"/>
      <c r="AH48" s="140"/>
      <c r="AI48" s="133"/>
      <c r="AJ48" s="133"/>
      <c r="AK48" s="133"/>
      <c r="AL48" s="133"/>
      <c r="AM48" s="133"/>
      <c r="AN48" s="145"/>
    </row>
    <row r="49" spans="1:40" s="53" customFormat="1" ht="15" customHeight="1" x14ac:dyDescent="0.25">
      <c r="A49" s="129">
        <f>A48+1</f>
        <v>1</v>
      </c>
      <c r="B49" s="130">
        <f>C18</f>
        <v>7</v>
      </c>
      <c r="C49" s="131" t="str">
        <f>E18</f>
        <v>0,200</v>
      </c>
      <c r="D49" s="132" t="str">
        <f>D18</f>
        <v>Молоко пастеризованное</v>
      </c>
      <c r="E49" s="133">
        <f t="shared" ref="E49:E50" si="82">G49/2.5</f>
        <v>10</v>
      </c>
      <c r="F49" s="133">
        <f t="shared" ref="F49:F50" si="83">E49*B49</f>
        <v>70</v>
      </c>
      <c r="G49" s="138">
        <f>50*2.5/5</f>
        <v>25</v>
      </c>
      <c r="H49" s="133">
        <f t="shared" ref="H49:H50" si="84">G49*B49</f>
        <v>175</v>
      </c>
      <c r="I49" s="133">
        <f>F18</f>
        <v>58</v>
      </c>
      <c r="J49" s="135">
        <f t="shared" ref="J49:J50" si="85">I49*B49</f>
        <v>406</v>
      </c>
      <c r="K49" s="136">
        <f>K48+1</f>
        <v>1</v>
      </c>
      <c r="L49" s="130">
        <f>M18</f>
        <v>37</v>
      </c>
      <c r="M49" s="131" t="str">
        <f>O18</f>
        <v>0,200</v>
      </c>
      <c r="N49" s="132" t="str">
        <f>N18</f>
        <v>Молоко пастеризованное</v>
      </c>
      <c r="O49" s="133">
        <f t="shared" ref="O49:O50" si="86">Q49/2.5</f>
        <v>13</v>
      </c>
      <c r="P49" s="133">
        <f t="shared" ref="P49:P50" si="87">O49*L49</f>
        <v>481</v>
      </c>
      <c r="Q49" s="138">
        <v>32.5</v>
      </c>
      <c r="R49" s="133">
        <f t="shared" ref="R49:R50" si="88">Q49*L49</f>
        <v>1202.5</v>
      </c>
      <c r="S49" s="133">
        <f>P18</f>
        <v>58</v>
      </c>
      <c r="T49" s="135">
        <f t="shared" ref="T49:T50" si="89">S49*L49</f>
        <v>2146</v>
      </c>
      <c r="U49" s="129">
        <f>U48+1</f>
        <v>1</v>
      </c>
      <c r="V49" s="130">
        <f>W18</f>
        <v>26</v>
      </c>
      <c r="W49" s="131" t="str">
        <f>Y18</f>
        <v>0,200</v>
      </c>
      <c r="X49" s="132" t="str">
        <f>X18</f>
        <v>Молоко пастеризованное</v>
      </c>
      <c r="Y49" s="133">
        <f t="shared" ref="Y49:Y50" si="90">AA49/2.5</f>
        <v>10</v>
      </c>
      <c r="Z49" s="133">
        <f t="shared" ref="Z49:Z50" si="91">Y49*V49</f>
        <v>260</v>
      </c>
      <c r="AA49" s="134">
        <f>50*2.5/5</f>
        <v>25</v>
      </c>
      <c r="AB49" s="133">
        <f t="shared" ref="AB49:AB50" si="92">AA49*V49</f>
        <v>650</v>
      </c>
      <c r="AC49" s="133">
        <f>Z18</f>
        <v>53</v>
      </c>
      <c r="AD49" s="135">
        <f t="shared" ref="AD49:AD50" si="93">AC49*V49</f>
        <v>1378</v>
      </c>
      <c r="AE49" s="137">
        <f>AE48+1</f>
        <v>1</v>
      </c>
      <c r="AF49" s="130">
        <f>AG18</f>
        <v>5</v>
      </c>
      <c r="AG49" s="131" t="str">
        <f>AI18</f>
        <v>0,200</v>
      </c>
      <c r="AH49" s="132" t="str">
        <f>AH18</f>
        <v>Молоко пастеризованное</v>
      </c>
      <c r="AI49" s="133">
        <f t="shared" ref="AI49:AI50" si="94">AK49/2.5</f>
        <v>13</v>
      </c>
      <c r="AJ49" s="133">
        <f t="shared" ref="AJ49:AJ50" si="95">AI49*AF49</f>
        <v>65</v>
      </c>
      <c r="AK49" s="138">
        <v>32.5</v>
      </c>
      <c r="AL49" s="133">
        <f t="shared" ref="AL49:AL50" si="96">AK49*AF49</f>
        <v>162.5</v>
      </c>
      <c r="AM49" s="133">
        <f>AJ18</f>
        <v>53</v>
      </c>
      <c r="AN49" s="135">
        <f t="shared" ref="AN49:AN50" si="97">AM49*AF49</f>
        <v>265</v>
      </c>
    </row>
    <row r="50" spans="1:40" s="53" customFormat="1" ht="15" customHeight="1" x14ac:dyDescent="0.25">
      <c r="A50" s="129">
        <f>A49+1</f>
        <v>2</v>
      </c>
      <c r="B50" s="130">
        <f>B49</f>
        <v>7</v>
      </c>
      <c r="C50" s="131" t="str">
        <f>E19</f>
        <v>1 шт</v>
      </c>
      <c r="D50" s="132" t="str">
        <f>D19</f>
        <v>Рогалик с маком</v>
      </c>
      <c r="E50" s="133">
        <f t="shared" si="82"/>
        <v>15.4</v>
      </c>
      <c r="F50" s="133">
        <f t="shared" si="83"/>
        <v>107.8</v>
      </c>
      <c r="G50" s="134">
        <v>38.5</v>
      </c>
      <c r="H50" s="133">
        <f t="shared" si="84"/>
        <v>269.5</v>
      </c>
      <c r="I50" s="133">
        <f>F19</f>
        <v>39.200000000000003</v>
      </c>
      <c r="J50" s="135">
        <f t="shared" si="85"/>
        <v>274.40000000000003</v>
      </c>
      <c r="K50" s="136">
        <f>K49+1</f>
        <v>2</v>
      </c>
      <c r="L50" s="130">
        <f>L49</f>
        <v>37</v>
      </c>
      <c r="M50" s="131" t="str">
        <f>O19</f>
        <v>1 шт</v>
      </c>
      <c r="N50" s="132" t="str">
        <f>N19</f>
        <v>Рогалик с маком</v>
      </c>
      <c r="O50" s="133">
        <f t="shared" si="86"/>
        <v>15.4</v>
      </c>
      <c r="P50" s="133">
        <f t="shared" si="87"/>
        <v>569.80000000000007</v>
      </c>
      <c r="Q50" s="134">
        <v>38.5</v>
      </c>
      <c r="R50" s="133">
        <f t="shared" si="88"/>
        <v>1424.5</v>
      </c>
      <c r="S50" s="133">
        <f>P19</f>
        <v>39.200000000000003</v>
      </c>
      <c r="T50" s="135">
        <f t="shared" si="89"/>
        <v>1450.4</v>
      </c>
      <c r="U50" s="152">
        <f>U49+1</f>
        <v>2</v>
      </c>
      <c r="V50" s="148">
        <f>V49</f>
        <v>26</v>
      </c>
      <c r="W50" s="153" t="str">
        <f>Y19</f>
        <v>1 шт</v>
      </c>
      <c r="X50" s="154" t="str">
        <f>X19</f>
        <v>Булочка с маком</v>
      </c>
      <c r="Y50" s="155">
        <f t="shared" si="90"/>
        <v>15.4</v>
      </c>
      <c r="Z50" s="155">
        <f t="shared" si="91"/>
        <v>400.40000000000003</v>
      </c>
      <c r="AA50" s="134">
        <v>38.5</v>
      </c>
      <c r="AB50" s="155">
        <f t="shared" si="92"/>
        <v>1001</v>
      </c>
      <c r="AC50" s="155">
        <f>Z19</f>
        <v>36.6</v>
      </c>
      <c r="AD50" s="156">
        <f t="shared" si="93"/>
        <v>951.6</v>
      </c>
      <c r="AE50" s="157">
        <f>AE49+1</f>
        <v>2</v>
      </c>
      <c r="AF50" s="148">
        <f>AF49</f>
        <v>5</v>
      </c>
      <c r="AG50" s="153" t="str">
        <f>AI19</f>
        <v>1 шт</v>
      </c>
      <c r="AH50" s="154" t="str">
        <f>AH19</f>
        <v>Булочка с маком</v>
      </c>
      <c r="AI50" s="155">
        <f t="shared" si="94"/>
        <v>15.4</v>
      </c>
      <c r="AJ50" s="155">
        <f t="shared" si="95"/>
        <v>77</v>
      </c>
      <c r="AK50" s="134">
        <v>38.5</v>
      </c>
      <c r="AL50" s="155">
        <f t="shared" si="96"/>
        <v>192.5</v>
      </c>
      <c r="AM50" s="155">
        <f>AJ19</f>
        <v>36.6</v>
      </c>
      <c r="AN50" s="156">
        <f t="shared" si="97"/>
        <v>183</v>
      </c>
    </row>
    <row r="51" spans="1:40" s="53" customFormat="1" ht="15" customHeight="1" x14ac:dyDescent="0.25">
      <c r="A51" s="158"/>
      <c r="B51" s="139"/>
      <c r="C51" s="141"/>
      <c r="D51" s="140"/>
      <c r="E51" s="133"/>
      <c r="F51" s="133"/>
      <c r="G51" s="133"/>
      <c r="H51" s="133"/>
      <c r="I51" s="133"/>
      <c r="J51" s="135"/>
      <c r="K51" s="158"/>
      <c r="L51" s="139"/>
      <c r="M51" s="141"/>
      <c r="N51" s="140"/>
      <c r="O51" s="133"/>
      <c r="P51" s="133"/>
      <c r="Q51" s="133"/>
      <c r="R51" s="133"/>
      <c r="S51" s="133"/>
      <c r="T51" s="135"/>
      <c r="U51" s="129"/>
      <c r="V51" s="139"/>
      <c r="W51" s="141"/>
      <c r="X51" s="140"/>
      <c r="Y51" s="133"/>
      <c r="Z51" s="133"/>
      <c r="AA51" s="134"/>
      <c r="AB51" s="133"/>
      <c r="AC51" s="133"/>
      <c r="AD51" s="135"/>
      <c r="AE51" s="159"/>
      <c r="AF51" s="139"/>
      <c r="AG51" s="141"/>
      <c r="AH51" s="140"/>
      <c r="AI51" s="133"/>
      <c r="AJ51" s="133"/>
      <c r="AK51" s="134"/>
      <c r="AL51" s="133"/>
      <c r="AM51" s="133"/>
      <c r="AN51" s="135"/>
    </row>
    <row r="52" spans="1:40" s="53" customFormat="1" ht="15" customHeight="1" thickBot="1" x14ac:dyDescent="0.3">
      <c r="A52" s="160"/>
      <c r="B52" s="161" t="s">
        <v>79</v>
      </c>
      <c r="C52" s="162"/>
      <c r="D52" s="162"/>
      <c r="E52" s="163">
        <f>SUM(E49:E51)</f>
        <v>25.4</v>
      </c>
      <c r="F52" s="163">
        <f t="shared" ref="F52:H52" si="98">SUM(F49:F51)</f>
        <v>177.8</v>
      </c>
      <c r="G52" s="163">
        <f t="shared" si="98"/>
        <v>63.5</v>
      </c>
      <c r="H52" s="163">
        <f t="shared" si="98"/>
        <v>444.5</v>
      </c>
      <c r="I52" s="163">
        <f>F21</f>
        <v>97.2</v>
      </c>
      <c r="J52" s="164">
        <f>I52*B49</f>
        <v>680.4</v>
      </c>
      <c r="K52" s="160"/>
      <c r="L52" s="161" t="s">
        <v>79</v>
      </c>
      <c r="M52" s="162"/>
      <c r="N52" s="162"/>
      <c r="O52" s="163">
        <f>SUM(O49:O51)</f>
        <v>28.4</v>
      </c>
      <c r="P52" s="163">
        <f t="shared" ref="P52:R52" si="99">SUM(P49:P51)</f>
        <v>1050.8000000000002</v>
      </c>
      <c r="Q52" s="163">
        <f t="shared" si="99"/>
        <v>71</v>
      </c>
      <c r="R52" s="163">
        <f t="shared" si="99"/>
        <v>2627</v>
      </c>
      <c r="S52" s="163">
        <f>P21</f>
        <v>106.2</v>
      </c>
      <c r="T52" s="164">
        <f>S52*L49</f>
        <v>3929.4</v>
      </c>
      <c r="U52" s="160"/>
      <c r="V52" s="161" t="s">
        <v>79</v>
      </c>
      <c r="W52" s="162"/>
      <c r="X52" s="162"/>
      <c r="Y52" s="163">
        <f>SUM(Y49:Y51)</f>
        <v>25.4</v>
      </c>
      <c r="Z52" s="163">
        <f t="shared" ref="Z52:AB52" si="100">SUM(Z49:Z51)</f>
        <v>660.40000000000009</v>
      </c>
      <c r="AA52" s="163">
        <f t="shared" si="100"/>
        <v>63.5</v>
      </c>
      <c r="AB52" s="163">
        <f t="shared" si="100"/>
        <v>1651</v>
      </c>
      <c r="AC52" s="163">
        <f>Z21</f>
        <v>89.6</v>
      </c>
      <c r="AD52" s="164">
        <f>AC52*V49</f>
        <v>2329.6</v>
      </c>
      <c r="AE52" s="165"/>
      <c r="AF52" s="161" t="s">
        <v>79</v>
      </c>
      <c r="AG52" s="162"/>
      <c r="AH52" s="162"/>
      <c r="AI52" s="163">
        <f>SUM(AI49:AI51)</f>
        <v>28.4</v>
      </c>
      <c r="AJ52" s="163">
        <f t="shared" ref="AJ52:AL52" si="101">SUM(AJ49:AJ51)</f>
        <v>142</v>
      </c>
      <c r="AK52" s="163">
        <f t="shared" si="101"/>
        <v>71</v>
      </c>
      <c r="AL52" s="163">
        <f t="shared" si="101"/>
        <v>355</v>
      </c>
      <c r="AM52" s="163">
        <f>AJ21</f>
        <v>98.6</v>
      </c>
      <c r="AN52" s="164">
        <f>AM52*AF49</f>
        <v>493</v>
      </c>
    </row>
    <row r="53" spans="1:40" s="53" customFormat="1" ht="15" customHeight="1" x14ac:dyDescent="0.25">
      <c r="A53" s="166"/>
      <c r="B53" s="167" t="s">
        <v>81</v>
      </c>
      <c r="C53" s="168"/>
      <c r="D53" s="169"/>
      <c r="E53" s="170">
        <f>E37+E47+E52</f>
        <v>132.01480000000001</v>
      </c>
      <c r="F53" s="170">
        <f t="shared" ref="F53:H53" si="102">F37+F47+F52</f>
        <v>2843.17</v>
      </c>
      <c r="G53" s="170">
        <f t="shared" si="102"/>
        <v>330.03700000000003</v>
      </c>
      <c r="H53" s="170">
        <f t="shared" si="102"/>
        <v>7107.9250000000002</v>
      </c>
      <c r="I53" s="170">
        <f>I37+I47+I52</f>
        <v>423</v>
      </c>
      <c r="J53" s="171">
        <f>J37+J47+J52</f>
        <v>8825.4</v>
      </c>
      <c r="K53" s="166"/>
      <c r="L53" s="167" t="s">
        <v>81</v>
      </c>
      <c r="M53" s="168"/>
      <c r="N53" s="169"/>
      <c r="O53" s="170">
        <f>O37+O47+O52</f>
        <v>162.61200000000002</v>
      </c>
      <c r="P53" s="170">
        <f t="shared" ref="P53:R53" si="103">P37+P47+P52</f>
        <v>7051.2480000000005</v>
      </c>
      <c r="Q53" s="170">
        <f t="shared" si="103"/>
        <v>406.53</v>
      </c>
      <c r="R53" s="170">
        <f t="shared" si="103"/>
        <v>17628.12</v>
      </c>
      <c r="S53" s="170">
        <f>S37+S47+S52</f>
        <v>468</v>
      </c>
      <c r="T53" s="171">
        <f>T37+T47+T52</f>
        <v>17614.8</v>
      </c>
      <c r="U53" s="172"/>
      <c r="V53" s="173" t="s">
        <v>81</v>
      </c>
      <c r="W53" s="174"/>
      <c r="X53" s="175"/>
      <c r="Y53" s="176">
        <f>Y37+Y47+Y52</f>
        <v>132.01480000000001</v>
      </c>
      <c r="Z53" s="176">
        <f t="shared" ref="Z53:AB53" si="104">Z37+Z47+Z52</f>
        <v>3538.9996000000006</v>
      </c>
      <c r="AA53" s="176">
        <f t="shared" si="104"/>
        <v>330.03700000000003</v>
      </c>
      <c r="AB53" s="176">
        <f t="shared" si="104"/>
        <v>8847.4989999999998</v>
      </c>
      <c r="AC53" s="176">
        <f>AC37+AC47+AC52</f>
        <v>394.74</v>
      </c>
      <c r="AD53" s="177">
        <f>AD37+AD47+AD52</f>
        <v>10568.38</v>
      </c>
      <c r="AE53" s="178"/>
      <c r="AF53" s="167" t="s">
        <v>81</v>
      </c>
      <c r="AG53" s="168"/>
      <c r="AH53" s="169"/>
      <c r="AI53" s="170">
        <f>AI37+AI47+AI52</f>
        <v>162.61200000000002</v>
      </c>
      <c r="AJ53" s="170">
        <f t="shared" ref="AJ53:AL53" si="105">AJ37+AJ47+AJ52</f>
        <v>10398.952000000001</v>
      </c>
      <c r="AK53" s="170">
        <f t="shared" si="105"/>
        <v>406.53</v>
      </c>
      <c r="AL53" s="170">
        <f t="shared" si="105"/>
        <v>25997.38</v>
      </c>
      <c r="AM53" s="170">
        <f>AM37+AM47+AM52</f>
        <v>437.72750000000008</v>
      </c>
      <c r="AN53" s="171">
        <f>AN37+AN47+AN52</f>
        <v>25909.745000000003</v>
      </c>
    </row>
    <row r="54" spans="1:40" s="53" customFormat="1" ht="15" customHeight="1" thickBot="1" x14ac:dyDescent="0.3">
      <c r="A54" s="160"/>
      <c r="B54" s="179" t="s">
        <v>82</v>
      </c>
      <c r="C54" s="180"/>
      <c r="D54" s="181">
        <v>1</v>
      </c>
      <c r="E54" s="182"/>
      <c r="F54" s="182"/>
      <c r="G54" s="182"/>
      <c r="H54" s="182"/>
      <c r="I54" s="182">
        <f>I53</f>
        <v>423</v>
      </c>
      <c r="J54" s="183"/>
      <c r="K54" s="160"/>
      <c r="L54" s="179"/>
      <c r="M54" s="180"/>
      <c r="N54" s="181"/>
      <c r="O54" s="182"/>
      <c r="P54" s="182"/>
      <c r="Q54" s="182"/>
      <c r="R54" s="182"/>
      <c r="S54" s="182"/>
      <c r="T54" s="183"/>
      <c r="U54" s="160"/>
      <c r="V54" s="179" t="s">
        <v>82</v>
      </c>
      <c r="W54" s="180"/>
      <c r="X54" s="181">
        <v>1</v>
      </c>
      <c r="Y54" s="182"/>
      <c r="Z54" s="182"/>
      <c r="AA54" s="182"/>
      <c r="AB54" s="182"/>
      <c r="AC54" s="182">
        <f>AC53</f>
        <v>394.74</v>
      </c>
      <c r="AD54" s="183"/>
      <c r="AE54" s="165"/>
      <c r="AF54" s="179" t="s">
        <v>82</v>
      </c>
      <c r="AG54" s="180"/>
      <c r="AH54" s="181"/>
      <c r="AI54" s="182"/>
      <c r="AJ54" s="182"/>
      <c r="AK54" s="182"/>
      <c r="AL54" s="182"/>
      <c r="AM54" s="182"/>
      <c r="AN54" s="183"/>
    </row>
    <row r="55" spans="1:40" s="189" customFormat="1" ht="15" customHeight="1" x14ac:dyDescent="0.25">
      <c r="A55" s="184"/>
      <c r="B55" s="185"/>
      <c r="C55" s="186"/>
      <c r="D55" s="187"/>
      <c r="E55" s="188"/>
      <c r="F55" s="188"/>
      <c r="G55" s="188"/>
      <c r="H55" s="188"/>
      <c r="I55" s="188"/>
      <c r="J55" s="188"/>
      <c r="K55" s="184"/>
      <c r="L55" s="185"/>
      <c r="M55" s="186"/>
      <c r="N55" s="187"/>
      <c r="O55" s="188"/>
      <c r="P55" s="188"/>
      <c r="Q55" s="188"/>
      <c r="R55" s="188"/>
      <c r="S55" s="188"/>
      <c r="T55" s="188"/>
      <c r="U55" s="184"/>
      <c r="V55" s="185"/>
      <c r="W55" s="186"/>
      <c r="X55" s="187"/>
      <c r="Y55" s="188"/>
      <c r="Z55" s="188"/>
      <c r="AA55" s="188"/>
      <c r="AB55" s="188"/>
      <c r="AC55" s="188"/>
      <c r="AD55" s="188"/>
      <c r="AE55" s="184"/>
      <c r="AF55" s="185"/>
      <c r="AG55" s="186"/>
      <c r="AH55" s="187"/>
      <c r="AI55" s="188"/>
      <c r="AJ55" s="188"/>
      <c r="AK55" s="188"/>
      <c r="AL55" s="188"/>
      <c r="AM55" s="188"/>
      <c r="AN55" s="188"/>
    </row>
    <row r="56" spans="1:40" s="53" customFormat="1" ht="15" customHeight="1" x14ac:dyDescent="0.25">
      <c r="A56" s="190"/>
      <c r="B56" s="191" t="s">
        <v>83</v>
      </c>
      <c r="C56" s="192"/>
      <c r="D56" s="192"/>
      <c r="E56" s="193"/>
      <c r="F56" s="193"/>
      <c r="G56" s="193"/>
      <c r="H56" s="194">
        <f>423-I53</f>
        <v>0</v>
      </c>
      <c r="I56" s="193"/>
      <c r="J56" s="194"/>
      <c r="K56" s="190"/>
      <c r="L56" s="191" t="s">
        <v>83</v>
      </c>
      <c r="M56" s="192"/>
      <c r="N56" s="192"/>
      <c r="O56" s="193"/>
      <c r="P56" s="194"/>
      <c r="Q56" s="194"/>
      <c r="R56" s="194">
        <f>468-S53</f>
        <v>0</v>
      </c>
      <c r="S56" s="194"/>
      <c r="T56" s="194"/>
      <c r="U56" s="190"/>
      <c r="V56" s="191" t="s">
        <v>83</v>
      </c>
      <c r="W56" s="192"/>
      <c r="X56" s="192"/>
      <c r="Y56" s="193"/>
      <c r="Z56" s="194"/>
      <c r="AA56" s="194"/>
      <c r="AB56" s="194">
        <f>394.74-AC54</f>
        <v>0</v>
      </c>
      <c r="AC56" s="194"/>
      <c r="AD56" s="194"/>
      <c r="AE56" s="190"/>
      <c r="AF56" s="191" t="s">
        <v>83</v>
      </c>
      <c r="AG56" s="192"/>
      <c r="AH56" s="192"/>
      <c r="AI56" s="193"/>
      <c r="AJ56" s="194"/>
      <c r="AK56" s="194"/>
      <c r="AL56" s="194">
        <f>437.73-AM53</f>
        <v>2.4999999999408828E-3</v>
      </c>
      <c r="AM56" s="194"/>
      <c r="AN56" s="194"/>
    </row>
    <row r="57" spans="1:40" s="53" customFormat="1" ht="15" customHeight="1" x14ac:dyDescent="0.25">
      <c r="A57" s="190"/>
      <c r="B57" s="191"/>
      <c r="C57" s="195"/>
      <c r="D57" s="195"/>
      <c r="E57" s="193"/>
      <c r="F57" s="193"/>
      <c r="G57" s="196"/>
      <c r="H57" s="193"/>
      <c r="I57" s="196"/>
      <c r="J57" s="194"/>
      <c r="K57" s="190"/>
      <c r="L57" s="191"/>
      <c r="M57" s="195"/>
      <c r="N57" s="195"/>
      <c r="O57" s="193"/>
      <c r="P57" s="194"/>
      <c r="Q57" s="194"/>
      <c r="R57" s="194"/>
      <c r="S57" s="194"/>
      <c r="T57" s="194"/>
      <c r="U57" s="190"/>
      <c r="V57" s="191"/>
      <c r="W57" s="195"/>
      <c r="X57" s="195"/>
      <c r="Y57" s="193"/>
      <c r="Z57" s="194"/>
      <c r="AA57" s="194"/>
      <c r="AB57" s="194"/>
      <c r="AC57" s="194"/>
      <c r="AD57" s="194"/>
      <c r="AE57" s="190"/>
      <c r="AF57" s="191"/>
      <c r="AG57" s="195"/>
      <c r="AH57" s="195"/>
      <c r="AI57" s="193"/>
      <c r="AJ57" s="194"/>
      <c r="AK57" s="194"/>
      <c r="AL57" s="194"/>
      <c r="AM57" s="194"/>
      <c r="AN57" s="194"/>
    </row>
    <row r="58" spans="1:40" s="53" customFormat="1" ht="15" customHeight="1" x14ac:dyDescent="0.25">
      <c r="B58" s="191" t="s">
        <v>84</v>
      </c>
      <c r="C58" s="192"/>
      <c r="D58" s="192"/>
      <c r="E58" s="193"/>
      <c r="F58" s="193"/>
      <c r="G58" s="193"/>
      <c r="H58" s="193"/>
      <c r="I58" s="193"/>
      <c r="L58" s="191" t="s">
        <v>84</v>
      </c>
      <c r="M58" s="192"/>
      <c r="N58" s="192"/>
      <c r="O58" s="193"/>
      <c r="V58" s="191" t="s">
        <v>84</v>
      </c>
      <c r="W58" s="192"/>
      <c r="X58" s="192"/>
      <c r="Y58" s="193"/>
      <c r="AF58" s="191" t="s">
        <v>84</v>
      </c>
      <c r="AG58" s="192"/>
      <c r="AH58" s="192"/>
      <c r="AI58" s="193"/>
    </row>
    <row r="59" spans="1:40" s="114" customFormat="1" ht="24.95" customHeight="1" x14ac:dyDescent="0.25">
      <c r="B59" s="197"/>
      <c r="C59" s="198"/>
      <c r="D59" s="198"/>
      <c r="E59" s="199"/>
      <c r="F59" s="199"/>
      <c r="G59" s="199"/>
      <c r="H59" s="199"/>
      <c r="I59" s="199"/>
      <c r="L59" s="197"/>
      <c r="M59" s="198"/>
      <c r="N59" s="198"/>
      <c r="O59" s="199"/>
      <c r="V59" s="197"/>
      <c r="W59" s="198"/>
      <c r="X59" s="198"/>
      <c r="Y59" s="199"/>
      <c r="AF59" s="197"/>
      <c r="AG59" s="198"/>
      <c r="AH59" s="198"/>
      <c r="AI59" s="199"/>
    </row>
    <row r="60" spans="1:40" s="1" customFormat="1" ht="24.95" customHeight="1" x14ac:dyDescent="0.3">
      <c r="A60" s="1" t="s">
        <v>0</v>
      </c>
      <c r="B60" s="295" t="s">
        <v>85</v>
      </c>
      <c r="C60" s="296"/>
      <c r="D60" s="296"/>
      <c r="E60" s="296"/>
      <c r="F60" s="297"/>
      <c r="G60" s="1" t="s">
        <v>1</v>
      </c>
      <c r="H60" s="2" t="s">
        <v>2</v>
      </c>
      <c r="I60" s="1" t="s">
        <v>3</v>
      </c>
      <c r="J60" s="3">
        <f>J1</f>
        <v>44484</v>
      </c>
      <c r="K60" s="1" t="s">
        <v>0</v>
      </c>
      <c r="L60" s="295" t="s">
        <v>85</v>
      </c>
      <c r="M60" s="296"/>
      <c r="N60" s="296"/>
      <c r="O60" s="296"/>
      <c r="P60" s="297"/>
      <c r="Q60" s="1" t="s">
        <v>1</v>
      </c>
      <c r="R60" s="2" t="s">
        <v>4</v>
      </c>
      <c r="S60" s="1" t="s">
        <v>3</v>
      </c>
      <c r="T60" s="3">
        <f>J60</f>
        <v>44484</v>
      </c>
      <c r="U60" s="1" t="s">
        <v>0</v>
      </c>
      <c r="V60" s="273" t="s">
        <v>85</v>
      </c>
      <c r="W60" s="274"/>
      <c r="X60" s="274"/>
      <c r="Y60" s="274"/>
      <c r="Z60" s="275"/>
      <c r="AA60" s="1" t="s">
        <v>1</v>
      </c>
      <c r="AB60" s="2" t="s">
        <v>2</v>
      </c>
      <c r="AC60" s="1" t="s">
        <v>3</v>
      </c>
      <c r="AD60" s="3">
        <f>T60</f>
        <v>44484</v>
      </c>
      <c r="AE60" s="1" t="s">
        <v>0</v>
      </c>
      <c r="AF60" s="81" t="s">
        <v>85</v>
      </c>
      <c r="AG60" s="82"/>
      <c r="AH60" s="82"/>
      <c r="AI60" s="82"/>
      <c r="AJ60" s="83"/>
      <c r="AK60" s="1" t="s">
        <v>1</v>
      </c>
      <c r="AL60" s="2" t="s">
        <v>4</v>
      </c>
      <c r="AM60" s="1" t="s">
        <v>3</v>
      </c>
      <c r="AN60" s="3">
        <f>AD60</f>
        <v>44484</v>
      </c>
    </row>
    <row r="61" spans="1:40" s="1" customFormat="1" ht="24.95" customHeight="1" thickBot="1" x14ac:dyDescent="0.35">
      <c r="R61" s="200"/>
      <c r="AB61" s="200" t="s">
        <v>86</v>
      </c>
      <c r="AL61" s="200" t="s">
        <v>86</v>
      </c>
    </row>
    <row r="62" spans="1:40" s="4" customFormat="1" ht="24.95" customHeight="1" thickBot="1" x14ac:dyDescent="0.3">
      <c r="A62" s="73" t="s">
        <v>6</v>
      </c>
      <c r="B62" s="74" t="s">
        <v>7</v>
      </c>
      <c r="C62" s="74" t="s">
        <v>48</v>
      </c>
      <c r="D62" s="74" t="s">
        <v>8</v>
      </c>
      <c r="E62" s="74" t="s">
        <v>9</v>
      </c>
      <c r="F62" s="74" t="s">
        <v>10</v>
      </c>
      <c r="G62" s="74" t="s">
        <v>11</v>
      </c>
      <c r="H62" s="74" t="s">
        <v>12</v>
      </c>
      <c r="I62" s="74" t="s">
        <v>13</v>
      </c>
      <c r="J62" s="39" t="s">
        <v>14</v>
      </c>
      <c r="K62" s="73" t="s">
        <v>6</v>
      </c>
      <c r="L62" s="74" t="s">
        <v>7</v>
      </c>
      <c r="M62" s="74" t="s">
        <v>48</v>
      </c>
      <c r="N62" s="74" t="s">
        <v>8</v>
      </c>
      <c r="O62" s="74" t="s">
        <v>9</v>
      </c>
      <c r="P62" s="74" t="s">
        <v>10</v>
      </c>
      <c r="Q62" s="74" t="s">
        <v>11</v>
      </c>
      <c r="R62" s="74" t="s">
        <v>12</v>
      </c>
      <c r="S62" s="74" t="s">
        <v>13</v>
      </c>
      <c r="T62" s="39" t="s">
        <v>14</v>
      </c>
      <c r="U62" s="73" t="s">
        <v>6</v>
      </c>
      <c r="V62" s="74" t="s">
        <v>7</v>
      </c>
      <c r="W62" s="74" t="s">
        <v>48</v>
      </c>
      <c r="X62" s="74" t="s">
        <v>8</v>
      </c>
      <c r="Y62" s="74" t="s">
        <v>9</v>
      </c>
      <c r="Z62" s="74" t="s">
        <v>10</v>
      </c>
      <c r="AA62" s="74" t="s">
        <v>11</v>
      </c>
      <c r="AB62" s="74" t="s">
        <v>12</v>
      </c>
      <c r="AC62" s="74" t="s">
        <v>13</v>
      </c>
      <c r="AD62" s="39" t="s">
        <v>14</v>
      </c>
      <c r="AE62" s="201" t="s">
        <v>6</v>
      </c>
      <c r="AF62" s="74" t="s">
        <v>7</v>
      </c>
      <c r="AG62" s="74" t="s">
        <v>48</v>
      </c>
      <c r="AH62" s="74" t="s">
        <v>8</v>
      </c>
      <c r="AI62" s="74" t="s">
        <v>9</v>
      </c>
      <c r="AJ62" s="74" t="s">
        <v>10</v>
      </c>
      <c r="AK62" s="74" t="s">
        <v>11</v>
      </c>
      <c r="AL62" s="74" t="s">
        <v>12</v>
      </c>
      <c r="AM62" s="74" t="s">
        <v>13</v>
      </c>
      <c r="AN62" s="39" t="s">
        <v>14</v>
      </c>
    </row>
    <row r="63" spans="1:40" s="4" customFormat="1" ht="35.25" customHeight="1" x14ac:dyDescent="0.25">
      <c r="A63" s="72" t="s">
        <v>15</v>
      </c>
      <c r="B63" s="40" t="s">
        <v>16</v>
      </c>
      <c r="C63" s="86">
        <v>235</v>
      </c>
      <c r="D63" s="5" t="s">
        <v>87</v>
      </c>
      <c r="E63" s="6" t="s">
        <v>42</v>
      </c>
      <c r="F63" s="7">
        <v>73</v>
      </c>
      <c r="G63" s="76">
        <f>7.32*1.5</f>
        <v>10.98</v>
      </c>
      <c r="H63" s="76">
        <f>21.41*1.5</f>
        <v>32.115000000000002</v>
      </c>
      <c r="I63" s="8">
        <f>29.2*1.5</f>
        <v>43.8</v>
      </c>
      <c r="J63" s="9">
        <f>345.67*1.5</f>
        <v>518.505</v>
      </c>
      <c r="K63" s="72" t="s">
        <v>15</v>
      </c>
      <c r="L63" s="40" t="s">
        <v>16</v>
      </c>
      <c r="M63" s="86">
        <v>65</v>
      </c>
      <c r="N63" s="5" t="s">
        <v>87</v>
      </c>
      <c r="O63" s="6" t="s">
        <v>42</v>
      </c>
      <c r="P63" s="7">
        <v>73</v>
      </c>
      <c r="Q63" s="76">
        <f>7.32*1.5</f>
        <v>10.98</v>
      </c>
      <c r="R63" s="76">
        <f>21.41*1.5</f>
        <v>32.115000000000002</v>
      </c>
      <c r="S63" s="8">
        <f>29.2*1.5</f>
        <v>43.8</v>
      </c>
      <c r="T63" s="9">
        <f>345.67*1.5</f>
        <v>518.505</v>
      </c>
      <c r="U63" s="72" t="s">
        <v>15</v>
      </c>
      <c r="V63" s="40" t="s">
        <v>16</v>
      </c>
      <c r="W63" s="86">
        <v>0</v>
      </c>
      <c r="X63" s="5" t="s">
        <v>87</v>
      </c>
      <c r="Y63" s="6" t="s">
        <v>42</v>
      </c>
      <c r="Z63" s="7">
        <v>73</v>
      </c>
      <c r="AA63" s="76">
        <f>7.32*1.5</f>
        <v>10.98</v>
      </c>
      <c r="AB63" s="76">
        <f>21.41*1.5</f>
        <v>32.115000000000002</v>
      </c>
      <c r="AC63" s="8">
        <f>29.2*1.5</f>
        <v>43.8</v>
      </c>
      <c r="AD63" s="9">
        <f>345.67*1.5</f>
        <v>518.505</v>
      </c>
      <c r="AE63" s="202" t="s">
        <v>15</v>
      </c>
      <c r="AF63" s="40" t="s">
        <v>16</v>
      </c>
      <c r="AG63" s="86">
        <v>15</v>
      </c>
      <c r="AH63" s="5" t="s">
        <v>87</v>
      </c>
      <c r="AI63" s="6" t="s">
        <v>42</v>
      </c>
      <c r="AJ63" s="7">
        <v>73</v>
      </c>
      <c r="AK63" s="76">
        <f>7.32*1.5</f>
        <v>10.98</v>
      </c>
      <c r="AL63" s="76">
        <f>21.41*1.5</f>
        <v>32.115000000000002</v>
      </c>
      <c r="AM63" s="8">
        <f>29.2*1.5</f>
        <v>43.8</v>
      </c>
      <c r="AN63" s="9">
        <f>345.67*1.5</f>
        <v>518.505</v>
      </c>
    </row>
    <row r="64" spans="1:40" s="1" customFormat="1" ht="28.5" customHeight="1" x14ac:dyDescent="0.3">
      <c r="A64" s="70"/>
      <c r="B64" s="203" t="s">
        <v>88</v>
      </c>
      <c r="C64" s="204">
        <f>C63</f>
        <v>235</v>
      </c>
      <c r="D64" s="205" t="s">
        <v>89</v>
      </c>
      <c r="E64" s="206" t="s">
        <v>44</v>
      </c>
      <c r="F64" s="207">
        <v>5</v>
      </c>
      <c r="G64" s="208">
        <f>0.86</f>
        <v>0.86</v>
      </c>
      <c r="H64" s="208">
        <f>7.1</f>
        <v>7.1</v>
      </c>
      <c r="I64" s="208">
        <f>2.61</f>
        <v>2.61</v>
      </c>
      <c r="J64" s="209">
        <f>77.3</f>
        <v>77.3</v>
      </c>
      <c r="K64" s="70"/>
      <c r="L64" s="203" t="s">
        <v>88</v>
      </c>
      <c r="M64" s="204">
        <f>M63</f>
        <v>65</v>
      </c>
      <c r="N64" s="205" t="s">
        <v>89</v>
      </c>
      <c r="O64" s="206" t="s">
        <v>44</v>
      </c>
      <c r="P64" s="207">
        <v>5</v>
      </c>
      <c r="Q64" s="208">
        <f>0.86</f>
        <v>0.86</v>
      </c>
      <c r="R64" s="208">
        <f>7.1</f>
        <v>7.1</v>
      </c>
      <c r="S64" s="208">
        <f>2.61</f>
        <v>2.61</v>
      </c>
      <c r="T64" s="209">
        <f>77.3</f>
        <v>77.3</v>
      </c>
      <c r="U64" s="70"/>
      <c r="V64" s="203" t="s">
        <v>88</v>
      </c>
      <c r="W64" s="204">
        <f>W63</f>
        <v>0</v>
      </c>
      <c r="X64" s="205" t="s">
        <v>89</v>
      </c>
      <c r="Y64" s="206" t="s">
        <v>44</v>
      </c>
      <c r="Z64" s="207">
        <v>5</v>
      </c>
      <c r="AA64" s="208">
        <f>0.86</f>
        <v>0.86</v>
      </c>
      <c r="AB64" s="208">
        <f>7.1</f>
        <v>7.1</v>
      </c>
      <c r="AC64" s="208">
        <f>2.61</f>
        <v>2.61</v>
      </c>
      <c r="AD64" s="209">
        <f>77.3</f>
        <v>77.3</v>
      </c>
      <c r="AE64" s="210"/>
      <c r="AF64" s="203" t="s">
        <v>88</v>
      </c>
      <c r="AG64" s="204">
        <f>AG63</f>
        <v>15</v>
      </c>
      <c r="AH64" s="205" t="s">
        <v>89</v>
      </c>
      <c r="AI64" s="206" t="s">
        <v>44</v>
      </c>
      <c r="AJ64" s="207">
        <v>5</v>
      </c>
      <c r="AK64" s="208">
        <f>0.86</f>
        <v>0.86</v>
      </c>
      <c r="AL64" s="208">
        <f>7.1</f>
        <v>7.1</v>
      </c>
      <c r="AM64" s="208">
        <f>2.61</f>
        <v>2.61</v>
      </c>
      <c r="AN64" s="209">
        <f>77.3</f>
        <v>77.3</v>
      </c>
    </row>
    <row r="65" spans="1:41" s="1" customFormat="1" ht="28.5" customHeight="1" x14ac:dyDescent="0.3">
      <c r="A65" s="70"/>
      <c r="B65" s="88" t="s">
        <v>18</v>
      </c>
      <c r="C65" s="89">
        <f>C64</f>
        <v>235</v>
      </c>
      <c r="D65" s="10" t="s">
        <v>52</v>
      </c>
      <c r="E65" s="11" t="s">
        <v>17</v>
      </c>
      <c r="F65" s="12">
        <v>8</v>
      </c>
      <c r="G65" s="15">
        <v>0</v>
      </c>
      <c r="H65" s="15">
        <v>0</v>
      </c>
      <c r="I65" s="15">
        <v>15</v>
      </c>
      <c r="J65" s="16">
        <v>60</v>
      </c>
      <c r="K65" s="70"/>
      <c r="L65" s="88" t="s">
        <v>18</v>
      </c>
      <c r="M65" s="89">
        <f>M64</f>
        <v>65</v>
      </c>
      <c r="N65" s="10" t="s">
        <v>52</v>
      </c>
      <c r="O65" s="11" t="s">
        <v>17</v>
      </c>
      <c r="P65" s="12">
        <v>8</v>
      </c>
      <c r="Q65" s="15">
        <v>0</v>
      </c>
      <c r="R65" s="15">
        <v>0</v>
      </c>
      <c r="S65" s="15">
        <v>15</v>
      </c>
      <c r="T65" s="16">
        <v>60</v>
      </c>
      <c r="U65" s="70"/>
      <c r="V65" s="88" t="s">
        <v>18</v>
      </c>
      <c r="W65" s="89">
        <f>W64</f>
        <v>0</v>
      </c>
      <c r="X65" s="10" t="s">
        <v>52</v>
      </c>
      <c r="Y65" s="11" t="s">
        <v>17</v>
      </c>
      <c r="Z65" s="12">
        <v>8</v>
      </c>
      <c r="AA65" s="15">
        <v>0</v>
      </c>
      <c r="AB65" s="15">
        <v>0</v>
      </c>
      <c r="AC65" s="15">
        <v>15</v>
      </c>
      <c r="AD65" s="16">
        <v>60</v>
      </c>
      <c r="AE65" s="210"/>
      <c r="AF65" s="88" t="s">
        <v>18</v>
      </c>
      <c r="AG65" s="89">
        <f>AG64</f>
        <v>15</v>
      </c>
      <c r="AH65" s="10" t="s">
        <v>52</v>
      </c>
      <c r="AI65" s="11" t="s">
        <v>17</v>
      </c>
      <c r="AJ65" s="12">
        <v>8</v>
      </c>
      <c r="AK65" s="15">
        <v>0</v>
      </c>
      <c r="AL65" s="15">
        <v>0</v>
      </c>
      <c r="AM65" s="15">
        <v>15</v>
      </c>
      <c r="AN65" s="16">
        <v>60</v>
      </c>
    </row>
    <row r="66" spans="1:41" s="1" customFormat="1" ht="24.95" customHeight="1" x14ac:dyDescent="0.3">
      <c r="A66" s="70"/>
      <c r="B66" s="2" t="s">
        <v>19</v>
      </c>
      <c r="C66" s="87">
        <f t="shared" ref="C66" si="106">C65</f>
        <v>235</v>
      </c>
      <c r="D66" s="10" t="s">
        <v>20</v>
      </c>
      <c r="E66" s="11" t="s">
        <v>21</v>
      </c>
      <c r="F66" s="12">
        <v>9.1999999999999993</v>
      </c>
      <c r="G66" s="15">
        <f>4/5*3</f>
        <v>2.4000000000000004</v>
      </c>
      <c r="H66" s="15">
        <f>0.5/5*3</f>
        <v>0.30000000000000004</v>
      </c>
      <c r="I66" s="15">
        <f>24.55/5*3</f>
        <v>14.73</v>
      </c>
      <c r="J66" s="16">
        <f>119/5*3</f>
        <v>71.400000000000006</v>
      </c>
      <c r="K66" s="70"/>
      <c r="L66" s="2" t="s">
        <v>19</v>
      </c>
      <c r="M66" s="87">
        <f t="shared" ref="M66" si="107">M65</f>
        <v>65</v>
      </c>
      <c r="N66" s="10" t="s">
        <v>20</v>
      </c>
      <c r="O66" s="11" t="s">
        <v>21</v>
      </c>
      <c r="P66" s="12">
        <v>9.1999999999999993</v>
      </c>
      <c r="Q66" s="15">
        <f>4/5*3</f>
        <v>2.4000000000000004</v>
      </c>
      <c r="R66" s="15">
        <f>0.5/5*3</f>
        <v>0.30000000000000004</v>
      </c>
      <c r="S66" s="15">
        <f>24.55/5*3</f>
        <v>14.73</v>
      </c>
      <c r="T66" s="16">
        <f>119/5*3</f>
        <v>71.400000000000006</v>
      </c>
      <c r="U66" s="70"/>
      <c r="V66" s="2" t="s">
        <v>19</v>
      </c>
      <c r="W66" s="87">
        <f t="shared" ref="W66" si="108">W65</f>
        <v>0</v>
      </c>
      <c r="X66" s="10" t="s">
        <v>20</v>
      </c>
      <c r="Y66" s="11" t="s">
        <v>21</v>
      </c>
      <c r="Z66" s="12">
        <v>9.1999999999999993</v>
      </c>
      <c r="AA66" s="15">
        <f>4/5*3</f>
        <v>2.4000000000000004</v>
      </c>
      <c r="AB66" s="15">
        <f>0.5/5*3</f>
        <v>0.30000000000000004</v>
      </c>
      <c r="AC66" s="15">
        <f>24.55/5*3</f>
        <v>14.73</v>
      </c>
      <c r="AD66" s="16">
        <f>119/5*3</f>
        <v>71.400000000000006</v>
      </c>
      <c r="AE66" s="210"/>
      <c r="AF66" s="2" t="s">
        <v>19</v>
      </c>
      <c r="AG66" s="87">
        <f t="shared" ref="AG66" si="109">AG65</f>
        <v>15</v>
      </c>
      <c r="AH66" s="10" t="s">
        <v>20</v>
      </c>
      <c r="AI66" s="11" t="s">
        <v>21</v>
      </c>
      <c r="AJ66" s="12">
        <v>9.1999999999999993</v>
      </c>
      <c r="AK66" s="15">
        <f>4/5*3</f>
        <v>2.4000000000000004</v>
      </c>
      <c r="AL66" s="15">
        <f>0.5/5*3</f>
        <v>0.30000000000000004</v>
      </c>
      <c r="AM66" s="15">
        <f>24.55/5*3</f>
        <v>14.73</v>
      </c>
      <c r="AN66" s="16">
        <f>119/5*3</f>
        <v>71.400000000000006</v>
      </c>
    </row>
    <row r="67" spans="1:41" s="23" customFormat="1" ht="24.95" customHeight="1" thickBot="1" x14ac:dyDescent="0.35">
      <c r="A67" s="71"/>
      <c r="B67" s="59" t="s">
        <v>90</v>
      </c>
      <c r="C67" s="87">
        <f>C66</f>
        <v>235</v>
      </c>
      <c r="D67" s="10" t="s">
        <v>91</v>
      </c>
      <c r="E67" s="11" t="s">
        <v>92</v>
      </c>
      <c r="F67" s="12">
        <v>20</v>
      </c>
      <c r="G67" s="15">
        <f>0.05</f>
        <v>0.05</v>
      </c>
      <c r="H67" s="15"/>
      <c r="I67" s="15">
        <f>39.7/5*2</f>
        <v>15.88</v>
      </c>
      <c r="J67" s="16">
        <f>156/5*2</f>
        <v>62.4</v>
      </c>
      <c r="K67" s="71"/>
      <c r="L67" s="59" t="s">
        <v>90</v>
      </c>
      <c r="M67" s="87">
        <f>M66</f>
        <v>65</v>
      </c>
      <c r="N67" s="10" t="s">
        <v>91</v>
      </c>
      <c r="O67" s="11" t="s">
        <v>43</v>
      </c>
      <c r="P67" s="12">
        <f>20+23.4</f>
        <v>43.4</v>
      </c>
      <c r="Q67" s="15">
        <f>0.05/2*5</f>
        <v>0.125</v>
      </c>
      <c r="R67" s="15"/>
      <c r="S67" s="15">
        <f>39.7</f>
        <v>39.700000000000003</v>
      </c>
      <c r="T67" s="16">
        <f>156</f>
        <v>156</v>
      </c>
      <c r="U67" s="71"/>
      <c r="V67" s="59" t="s">
        <v>90</v>
      </c>
      <c r="W67" s="87">
        <f>W66</f>
        <v>0</v>
      </c>
      <c r="X67" s="10" t="s">
        <v>91</v>
      </c>
      <c r="Y67" s="11" t="s">
        <v>92</v>
      </c>
      <c r="Z67" s="12">
        <v>20</v>
      </c>
      <c r="AA67" s="15">
        <f>0.05</f>
        <v>0.05</v>
      </c>
      <c r="AB67" s="15"/>
      <c r="AC67" s="15">
        <f>39.7/5*2</f>
        <v>15.88</v>
      </c>
      <c r="AD67" s="16">
        <f>156/5*2</f>
        <v>62.4</v>
      </c>
      <c r="AE67" s="211"/>
      <c r="AF67" s="59" t="s">
        <v>90</v>
      </c>
      <c r="AG67" s="87">
        <f>AG66</f>
        <v>15</v>
      </c>
      <c r="AH67" s="10" t="s">
        <v>91</v>
      </c>
      <c r="AI67" s="11" t="s">
        <v>43</v>
      </c>
      <c r="AJ67" s="12">
        <f>20+23.4</f>
        <v>43.4</v>
      </c>
      <c r="AK67" s="15">
        <f>0.05/2*5</f>
        <v>0.125</v>
      </c>
      <c r="AL67" s="15"/>
      <c r="AM67" s="15">
        <f>39.7</f>
        <v>39.700000000000003</v>
      </c>
      <c r="AN67" s="16">
        <f>156</f>
        <v>156</v>
      </c>
      <c r="AO67" s="1"/>
    </row>
    <row r="68" spans="1:41" s="1" customFormat="1" ht="24.95" customHeight="1" thickBot="1" x14ac:dyDescent="0.35">
      <c r="A68" s="290" t="s">
        <v>22</v>
      </c>
      <c r="B68" s="291"/>
      <c r="C68" s="292"/>
      <c r="D68" s="212"/>
      <c r="E68" s="213"/>
      <c r="F68" s="214">
        <f>SUM(F63:F67)</f>
        <v>115.2</v>
      </c>
      <c r="G68" s="214">
        <f>SUM(G63:G67)</f>
        <v>14.290000000000001</v>
      </c>
      <c r="H68" s="214">
        <f t="shared" ref="H68:J68" si="110">SUM(H63:H67)</f>
        <v>39.515000000000001</v>
      </c>
      <c r="I68" s="214">
        <f t="shared" si="110"/>
        <v>92.02</v>
      </c>
      <c r="J68" s="215">
        <f t="shared" si="110"/>
        <v>789.6049999999999</v>
      </c>
      <c r="K68" s="290" t="s">
        <v>22</v>
      </c>
      <c r="L68" s="291"/>
      <c r="M68" s="292"/>
      <c r="N68" s="212"/>
      <c r="O68" s="213"/>
      <c r="P68" s="214">
        <f>SUM(P63:P67)</f>
        <v>138.6</v>
      </c>
      <c r="Q68" s="214">
        <f>SUM(Q63:Q67)</f>
        <v>14.365</v>
      </c>
      <c r="R68" s="214">
        <f t="shared" ref="R68:T68" si="111">SUM(R63:R67)</f>
        <v>39.515000000000001</v>
      </c>
      <c r="S68" s="214">
        <f t="shared" si="111"/>
        <v>115.84</v>
      </c>
      <c r="T68" s="215">
        <f t="shared" si="111"/>
        <v>883.20499999999993</v>
      </c>
      <c r="U68" s="72" t="s">
        <v>22</v>
      </c>
      <c r="V68" s="202"/>
      <c r="W68" s="279"/>
      <c r="X68" s="212"/>
      <c r="Y68" s="213"/>
      <c r="Z68" s="214">
        <f>SUM(Z63:Z67)</f>
        <v>115.2</v>
      </c>
      <c r="AA68" s="214">
        <f>SUM(AA63:AA67)</f>
        <v>14.290000000000001</v>
      </c>
      <c r="AB68" s="214">
        <f t="shared" ref="AB68:AD68" si="112">SUM(AB63:AB67)</f>
        <v>39.515000000000001</v>
      </c>
      <c r="AC68" s="214">
        <f t="shared" si="112"/>
        <v>92.02</v>
      </c>
      <c r="AD68" s="215">
        <f t="shared" si="112"/>
        <v>789.6049999999999</v>
      </c>
      <c r="AE68" s="202" t="s">
        <v>22</v>
      </c>
      <c r="AF68" s="202"/>
      <c r="AG68" s="279"/>
      <c r="AH68" s="212"/>
      <c r="AI68" s="213"/>
      <c r="AJ68" s="214">
        <f>SUM(AJ63:AJ67)</f>
        <v>138.6</v>
      </c>
      <c r="AK68" s="214">
        <f>SUM(AK63:AK67)</f>
        <v>14.365</v>
      </c>
      <c r="AL68" s="214">
        <f t="shared" ref="AL68:AN68" si="113">SUM(AL63:AL67)</f>
        <v>39.515000000000001</v>
      </c>
      <c r="AM68" s="214">
        <f t="shared" si="113"/>
        <v>115.84</v>
      </c>
      <c r="AN68" s="215">
        <f t="shared" si="113"/>
        <v>883.20499999999993</v>
      </c>
      <c r="AO68" s="23"/>
    </row>
    <row r="69" spans="1:41" s="4" customFormat="1" ht="28.5" customHeight="1" x14ac:dyDescent="0.3">
      <c r="A69" s="47" t="s">
        <v>23</v>
      </c>
      <c r="B69" s="40" t="s">
        <v>24</v>
      </c>
      <c r="C69" s="91">
        <v>93</v>
      </c>
      <c r="D69" s="5" t="s">
        <v>93</v>
      </c>
      <c r="E69" s="6" t="s">
        <v>92</v>
      </c>
      <c r="F69" s="7">
        <v>10</v>
      </c>
      <c r="G69" s="8">
        <f>0.1/2*5</f>
        <v>0.25</v>
      </c>
      <c r="H69" s="8">
        <f>0.2/2*5</f>
        <v>0.5</v>
      </c>
      <c r="I69" s="8">
        <f>3.8/2*5</f>
        <v>9.5</v>
      </c>
      <c r="J69" s="9">
        <f>24/2*5</f>
        <v>60</v>
      </c>
      <c r="K69" s="47" t="s">
        <v>23</v>
      </c>
      <c r="L69" s="40" t="s">
        <v>24</v>
      </c>
      <c r="M69" s="91">
        <v>65</v>
      </c>
      <c r="N69" s="5" t="s">
        <v>93</v>
      </c>
      <c r="O69" s="6" t="s">
        <v>92</v>
      </c>
      <c r="P69" s="7">
        <v>10</v>
      </c>
      <c r="Q69" s="8">
        <f>0.1/2*5</f>
        <v>0.25</v>
      </c>
      <c r="R69" s="8">
        <f>0.2/2*5</f>
        <v>0.5</v>
      </c>
      <c r="S69" s="8">
        <f>3.8/2*5</f>
        <v>9.5</v>
      </c>
      <c r="T69" s="9">
        <f>24/2*5</f>
        <v>60</v>
      </c>
      <c r="U69" s="47" t="s">
        <v>23</v>
      </c>
      <c r="V69" s="40" t="s">
        <v>24</v>
      </c>
      <c r="W69" s="91">
        <v>95</v>
      </c>
      <c r="X69" s="5" t="s">
        <v>93</v>
      </c>
      <c r="Y69" s="6" t="s">
        <v>92</v>
      </c>
      <c r="Z69" s="7">
        <v>10</v>
      </c>
      <c r="AA69" s="8">
        <f>0.1/2*5</f>
        <v>0.25</v>
      </c>
      <c r="AB69" s="8">
        <f>0.2/2*5</f>
        <v>0.5</v>
      </c>
      <c r="AC69" s="8">
        <f>3.8/2*5</f>
        <v>9.5</v>
      </c>
      <c r="AD69" s="9">
        <f>24/2*5</f>
        <v>60</v>
      </c>
      <c r="AE69" s="216" t="s">
        <v>23</v>
      </c>
      <c r="AF69" s="40" t="s">
        <v>24</v>
      </c>
      <c r="AG69" s="91">
        <v>10</v>
      </c>
      <c r="AH69" s="5" t="s">
        <v>93</v>
      </c>
      <c r="AI69" s="6" t="s">
        <v>92</v>
      </c>
      <c r="AJ69" s="7">
        <v>10</v>
      </c>
      <c r="AK69" s="8">
        <f>0.1/2*5</f>
        <v>0.25</v>
      </c>
      <c r="AL69" s="8">
        <f>0.2/2*5</f>
        <v>0.5</v>
      </c>
      <c r="AM69" s="8">
        <f>3.8/2*5</f>
        <v>9.5</v>
      </c>
      <c r="AN69" s="9">
        <f>24/2*5</f>
        <v>60</v>
      </c>
      <c r="AO69" s="1"/>
    </row>
    <row r="70" spans="1:41" s="4" customFormat="1" ht="34.5" customHeight="1" x14ac:dyDescent="0.25">
      <c r="A70" s="60"/>
      <c r="B70" s="48" t="s">
        <v>25</v>
      </c>
      <c r="C70" s="92">
        <f t="shared" ref="C70:C75" si="114">C69</f>
        <v>93</v>
      </c>
      <c r="D70" s="10" t="s">
        <v>94</v>
      </c>
      <c r="E70" s="11" t="s">
        <v>39</v>
      </c>
      <c r="F70" s="12">
        <v>80</v>
      </c>
      <c r="G70" s="15">
        <v>8.15</v>
      </c>
      <c r="H70" s="15">
        <v>8.9</v>
      </c>
      <c r="I70" s="15">
        <v>8.1</v>
      </c>
      <c r="J70" s="16">
        <v>149.80000000000001</v>
      </c>
      <c r="K70" s="60"/>
      <c r="L70" s="48" t="s">
        <v>25</v>
      </c>
      <c r="M70" s="92">
        <f t="shared" ref="M70:M75" si="115">M69</f>
        <v>65</v>
      </c>
      <c r="N70" s="10" t="s">
        <v>94</v>
      </c>
      <c r="O70" s="11" t="s">
        <v>95</v>
      </c>
      <c r="P70" s="12">
        <v>85</v>
      </c>
      <c r="Q70" s="15">
        <v>8.15</v>
      </c>
      <c r="R70" s="15">
        <v>8.9</v>
      </c>
      <c r="S70" s="15">
        <v>8.1</v>
      </c>
      <c r="T70" s="16">
        <v>149.80000000000001</v>
      </c>
      <c r="U70" s="60"/>
      <c r="V70" s="48" t="s">
        <v>25</v>
      </c>
      <c r="W70" s="92">
        <f t="shared" ref="W70:W75" si="116">W69</f>
        <v>95</v>
      </c>
      <c r="X70" s="10" t="s">
        <v>94</v>
      </c>
      <c r="Y70" s="11" t="s">
        <v>39</v>
      </c>
      <c r="Z70" s="12">
        <v>80</v>
      </c>
      <c r="AA70" s="15">
        <v>8.15</v>
      </c>
      <c r="AB70" s="15">
        <v>8.9</v>
      </c>
      <c r="AC70" s="15">
        <v>8.1</v>
      </c>
      <c r="AD70" s="16">
        <v>149.80000000000001</v>
      </c>
      <c r="AE70" s="60"/>
      <c r="AF70" s="48" t="s">
        <v>25</v>
      </c>
      <c r="AG70" s="92">
        <f t="shared" ref="AG70:AG75" si="117">AG69</f>
        <v>10</v>
      </c>
      <c r="AH70" s="10" t="s">
        <v>94</v>
      </c>
      <c r="AI70" s="11" t="s">
        <v>95</v>
      </c>
      <c r="AJ70" s="12">
        <v>85</v>
      </c>
      <c r="AK70" s="15">
        <v>8.15</v>
      </c>
      <c r="AL70" s="15">
        <v>8.9</v>
      </c>
      <c r="AM70" s="15">
        <v>8.1</v>
      </c>
      <c r="AN70" s="16">
        <v>149.80000000000001</v>
      </c>
    </row>
    <row r="71" spans="1:41" s="1" customFormat="1" ht="24.95" customHeight="1" x14ac:dyDescent="0.3">
      <c r="A71" s="60"/>
      <c r="B71" s="88" t="s">
        <v>26</v>
      </c>
      <c r="C71" s="92">
        <f t="shared" si="114"/>
        <v>93</v>
      </c>
      <c r="D71" s="10" t="s">
        <v>96</v>
      </c>
      <c r="E71" s="11" t="s">
        <v>97</v>
      </c>
      <c r="F71" s="12">
        <f>64.6+9</f>
        <v>73.599999999999994</v>
      </c>
      <c r="G71" s="15">
        <f>7.06+0.85+1.19</f>
        <v>9.1</v>
      </c>
      <c r="H71" s="15">
        <f>11.32+1.1+0.98</f>
        <v>13.4</v>
      </c>
      <c r="I71" s="15">
        <f>8+2.48+5.74</f>
        <v>16.22</v>
      </c>
      <c r="J71" s="16">
        <f>177.13+23.17+33.62</f>
        <v>233.92000000000002</v>
      </c>
      <c r="K71" s="60"/>
      <c r="L71" s="88" t="s">
        <v>26</v>
      </c>
      <c r="M71" s="92">
        <f t="shared" si="115"/>
        <v>65</v>
      </c>
      <c r="N71" s="10" t="s">
        <v>96</v>
      </c>
      <c r="O71" s="11" t="s">
        <v>97</v>
      </c>
      <c r="P71" s="12">
        <f>64.6+9</f>
        <v>73.599999999999994</v>
      </c>
      <c r="Q71" s="15">
        <f>7.06+0.85+1.19</f>
        <v>9.1</v>
      </c>
      <c r="R71" s="15">
        <f>11.32+1.1+0.98</f>
        <v>13.4</v>
      </c>
      <c r="S71" s="15">
        <f>8+2.48+5.74</f>
        <v>16.22</v>
      </c>
      <c r="T71" s="16">
        <f>177.13+23.17+33.62</f>
        <v>233.92000000000002</v>
      </c>
      <c r="U71" s="60"/>
      <c r="V71" s="88" t="s">
        <v>26</v>
      </c>
      <c r="W71" s="92">
        <f t="shared" si="116"/>
        <v>95</v>
      </c>
      <c r="X71" s="10" t="s">
        <v>96</v>
      </c>
      <c r="Y71" s="11" t="s">
        <v>97</v>
      </c>
      <c r="Z71" s="12">
        <f>64.6+9</f>
        <v>73.599999999999994</v>
      </c>
      <c r="AA71" s="15">
        <f>7.06+0.85+1.19</f>
        <v>9.1</v>
      </c>
      <c r="AB71" s="15">
        <f>11.32+1.1+0.98</f>
        <v>13.4</v>
      </c>
      <c r="AC71" s="15">
        <f>8+2.48+5.74</f>
        <v>16.22</v>
      </c>
      <c r="AD71" s="16">
        <f>177.13+23.17+33.62</f>
        <v>233.92000000000002</v>
      </c>
      <c r="AE71" s="98"/>
      <c r="AF71" s="88" t="s">
        <v>26</v>
      </c>
      <c r="AG71" s="92">
        <f t="shared" si="117"/>
        <v>10</v>
      </c>
      <c r="AH71" s="10" t="s">
        <v>96</v>
      </c>
      <c r="AI71" s="11" t="s">
        <v>97</v>
      </c>
      <c r="AJ71" s="12">
        <f>64.6+9</f>
        <v>73.599999999999994</v>
      </c>
      <c r="AK71" s="15">
        <f>7.06+0.85+1.19</f>
        <v>9.1</v>
      </c>
      <c r="AL71" s="15">
        <f>11.32+1.1+0.98</f>
        <v>13.4</v>
      </c>
      <c r="AM71" s="15">
        <f>8+2.48+5.74</f>
        <v>16.22</v>
      </c>
      <c r="AN71" s="16">
        <f>177.13+23.17+33.62</f>
        <v>233.92000000000002</v>
      </c>
    </row>
    <row r="72" spans="1:41" s="217" customFormat="1" ht="24.95" customHeight="1" x14ac:dyDescent="0.3">
      <c r="A72" s="49"/>
      <c r="B72" s="2" t="s">
        <v>41</v>
      </c>
      <c r="C72" s="93">
        <f t="shared" si="114"/>
        <v>93</v>
      </c>
      <c r="D72" s="85" t="s">
        <v>98</v>
      </c>
      <c r="E72" s="11" t="s">
        <v>42</v>
      </c>
      <c r="F72" s="12">
        <v>15</v>
      </c>
      <c r="G72" s="15">
        <f>6.51/20*15</f>
        <v>4.8825000000000003</v>
      </c>
      <c r="H72" s="15">
        <f>4.27/20*15</f>
        <v>3.2024999999999997</v>
      </c>
      <c r="I72" s="15">
        <f>38.55/20*15</f>
        <v>28.912499999999998</v>
      </c>
      <c r="J72" s="16">
        <f>209.28/20*15</f>
        <v>156.96</v>
      </c>
      <c r="K72" s="49"/>
      <c r="L72" s="2" t="s">
        <v>41</v>
      </c>
      <c r="M72" s="93">
        <f t="shared" si="115"/>
        <v>65</v>
      </c>
      <c r="N72" s="85" t="s">
        <v>99</v>
      </c>
      <c r="O72" s="11" t="s">
        <v>45</v>
      </c>
      <c r="P72" s="12">
        <f>15/15*18+5-0.4</f>
        <v>22.6</v>
      </c>
      <c r="Q72" s="15">
        <f>6.51/20*18+1</f>
        <v>6.859</v>
      </c>
      <c r="R72" s="15">
        <f>4.27/20*18+1</f>
        <v>4.843</v>
      </c>
      <c r="S72" s="15">
        <f>38.55/20*18+5</f>
        <v>39.694999999999993</v>
      </c>
      <c r="T72" s="16">
        <f>209.28/20*18+50</f>
        <v>238.352</v>
      </c>
      <c r="U72" s="49"/>
      <c r="V72" s="2" t="s">
        <v>41</v>
      </c>
      <c r="W72" s="93">
        <f t="shared" si="116"/>
        <v>95</v>
      </c>
      <c r="X72" s="85" t="s">
        <v>98</v>
      </c>
      <c r="Y72" s="11" t="s">
        <v>42</v>
      </c>
      <c r="Z72" s="12">
        <v>15</v>
      </c>
      <c r="AA72" s="15">
        <f>6.51/20*15</f>
        <v>4.8825000000000003</v>
      </c>
      <c r="AB72" s="15">
        <f>4.27/20*15</f>
        <v>3.2024999999999997</v>
      </c>
      <c r="AC72" s="15">
        <f>38.55/20*15</f>
        <v>28.912499999999998</v>
      </c>
      <c r="AD72" s="16">
        <f>209.28/20*15</f>
        <v>156.96</v>
      </c>
      <c r="AE72" s="75"/>
      <c r="AF72" s="2" t="s">
        <v>41</v>
      </c>
      <c r="AG72" s="93">
        <f t="shared" si="117"/>
        <v>10</v>
      </c>
      <c r="AH72" s="85" t="s">
        <v>99</v>
      </c>
      <c r="AI72" s="11" t="s">
        <v>45</v>
      </c>
      <c r="AJ72" s="12">
        <f>15/15*18+5-0.4</f>
        <v>22.6</v>
      </c>
      <c r="AK72" s="15">
        <f>6.51/20*18+1</f>
        <v>6.859</v>
      </c>
      <c r="AL72" s="15">
        <f>4.27/20*18+1</f>
        <v>4.843</v>
      </c>
      <c r="AM72" s="15">
        <f>38.55/20*18+5</f>
        <v>39.694999999999993</v>
      </c>
      <c r="AN72" s="16">
        <f>209.28/20*18+50</f>
        <v>238.352</v>
      </c>
      <c r="AO72" s="1"/>
    </row>
    <row r="73" spans="1:41" s="1" customFormat="1" ht="24.95" customHeight="1" x14ac:dyDescent="0.3">
      <c r="A73" s="49"/>
      <c r="B73" s="2" t="s">
        <v>18</v>
      </c>
      <c r="C73" s="93">
        <f t="shared" si="114"/>
        <v>93</v>
      </c>
      <c r="D73" s="10" t="s">
        <v>100</v>
      </c>
      <c r="E73" s="11" t="s">
        <v>17</v>
      </c>
      <c r="F73" s="12">
        <v>20</v>
      </c>
      <c r="G73" s="15">
        <v>0.2</v>
      </c>
      <c r="H73" s="15">
        <v>0.08</v>
      </c>
      <c r="I73" s="15">
        <v>33.4</v>
      </c>
      <c r="J73" s="16">
        <v>136.80000000000001</v>
      </c>
      <c r="K73" s="49"/>
      <c r="L73" s="2" t="s">
        <v>18</v>
      </c>
      <c r="M73" s="93">
        <f t="shared" si="115"/>
        <v>65</v>
      </c>
      <c r="N73" s="10" t="s">
        <v>100</v>
      </c>
      <c r="O73" s="11" t="s">
        <v>17</v>
      </c>
      <c r="P73" s="12">
        <v>20</v>
      </c>
      <c r="Q73" s="15">
        <v>0.2</v>
      </c>
      <c r="R73" s="15">
        <v>0.08</v>
      </c>
      <c r="S73" s="15">
        <v>33.4</v>
      </c>
      <c r="T73" s="16">
        <v>136.80000000000001</v>
      </c>
      <c r="U73" s="49"/>
      <c r="V73" s="2" t="s">
        <v>18</v>
      </c>
      <c r="W73" s="93">
        <f t="shared" si="116"/>
        <v>95</v>
      </c>
      <c r="X73" s="10" t="s">
        <v>100</v>
      </c>
      <c r="Y73" s="11" t="s">
        <v>17</v>
      </c>
      <c r="Z73" s="12">
        <v>20</v>
      </c>
      <c r="AA73" s="15">
        <v>0.2</v>
      </c>
      <c r="AB73" s="15">
        <v>0.08</v>
      </c>
      <c r="AC73" s="15">
        <v>33.4</v>
      </c>
      <c r="AD73" s="16">
        <v>136.80000000000001</v>
      </c>
      <c r="AE73" s="75"/>
      <c r="AF73" s="2" t="s">
        <v>18</v>
      </c>
      <c r="AG73" s="93">
        <f t="shared" si="117"/>
        <v>10</v>
      </c>
      <c r="AH73" s="10" t="s">
        <v>100</v>
      </c>
      <c r="AI73" s="11" t="s">
        <v>17</v>
      </c>
      <c r="AJ73" s="12">
        <v>20</v>
      </c>
      <c r="AK73" s="15">
        <v>0.2</v>
      </c>
      <c r="AL73" s="15">
        <v>0.08</v>
      </c>
      <c r="AM73" s="15">
        <v>33.4</v>
      </c>
      <c r="AN73" s="16">
        <v>136.80000000000001</v>
      </c>
      <c r="AO73" s="217"/>
    </row>
    <row r="74" spans="1:41" s="1" customFormat="1" ht="24.95" customHeight="1" x14ac:dyDescent="0.3">
      <c r="A74" s="49"/>
      <c r="B74" s="2" t="s">
        <v>27</v>
      </c>
      <c r="C74" s="93">
        <f t="shared" si="114"/>
        <v>93</v>
      </c>
      <c r="D74" s="10" t="s">
        <v>28</v>
      </c>
      <c r="E74" s="11" t="s">
        <v>29</v>
      </c>
      <c r="F74" s="12">
        <v>6</v>
      </c>
      <c r="G74" s="13">
        <f>4/5*3</f>
        <v>2.4000000000000004</v>
      </c>
      <c r="H74" s="13">
        <f>0.75/5*3</f>
        <v>0.44999999999999996</v>
      </c>
      <c r="I74" s="13">
        <f>20.05/5*3</f>
        <v>12.03</v>
      </c>
      <c r="J74" s="14">
        <f>104/5*3</f>
        <v>62.400000000000006</v>
      </c>
      <c r="K74" s="49"/>
      <c r="L74" s="2" t="s">
        <v>27</v>
      </c>
      <c r="M74" s="93">
        <f t="shared" si="115"/>
        <v>65</v>
      </c>
      <c r="N74" s="10" t="s">
        <v>28</v>
      </c>
      <c r="O74" s="11" t="s">
        <v>29</v>
      </c>
      <c r="P74" s="12">
        <v>6</v>
      </c>
      <c r="Q74" s="13">
        <f>4/5*3</f>
        <v>2.4000000000000004</v>
      </c>
      <c r="R74" s="13">
        <f>0.75/5*3</f>
        <v>0.44999999999999996</v>
      </c>
      <c r="S74" s="13">
        <f>20.05/5*3</f>
        <v>12.03</v>
      </c>
      <c r="T74" s="14">
        <f>104/5*3</f>
        <v>62.400000000000006</v>
      </c>
      <c r="U74" s="49"/>
      <c r="V74" s="2" t="s">
        <v>27</v>
      </c>
      <c r="W74" s="93">
        <f t="shared" si="116"/>
        <v>95</v>
      </c>
      <c r="X74" s="10" t="s">
        <v>28</v>
      </c>
      <c r="Y74" s="11" t="s">
        <v>29</v>
      </c>
      <c r="Z74" s="12">
        <v>6</v>
      </c>
      <c r="AA74" s="13">
        <f>4/5*3</f>
        <v>2.4000000000000004</v>
      </c>
      <c r="AB74" s="13">
        <f>0.75/5*3</f>
        <v>0.44999999999999996</v>
      </c>
      <c r="AC74" s="13">
        <f>20.05/5*3</f>
        <v>12.03</v>
      </c>
      <c r="AD74" s="14">
        <f>104/5*3</f>
        <v>62.400000000000006</v>
      </c>
      <c r="AE74" s="75"/>
      <c r="AF74" s="2" t="s">
        <v>27</v>
      </c>
      <c r="AG74" s="93">
        <f t="shared" si="117"/>
        <v>10</v>
      </c>
      <c r="AH74" s="10" t="s">
        <v>28</v>
      </c>
      <c r="AI74" s="11" t="s">
        <v>29</v>
      </c>
      <c r="AJ74" s="12">
        <v>6</v>
      </c>
      <c r="AK74" s="13">
        <f>4/5*3</f>
        <v>2.4000000000000004</v>
      </c>
      <c r="AL74" s="13">
        <f>0.75/5*3</f>
        <v>0.44999999999999996</v>
      </c>
      <c r="AM74" s="13">
        <f>20.05/5*3</f>
        <v>12.03</v>
      </c>
      <c r="AN74" s="14">
        <f>104/5*3</f>
        <v>62.400000000000006</v>
      </c>
    </row>
    <row r="75" spans="1:41" s="1" customFormat="1" ht="24.95" customHeight="1" thickBot="1" x14ac:dyDescent="0.35">
      <c r="A75" s="218"/>
      <c r="B75" s="219" t="s">
        <v>30</v>
      </c>
      <c r="C75" s="220">
        <f t="shared" si="114"/>
        <v>93</v>
      </c>
      <c r="D75" s="205" t="s">
        <v>31</v>
      </c>
      <c r="E75" s="206" t="s">
        <v>29</v>
      </c>
      <c r="F75" s="207">
        <v>6</v>
      </c>
      <c r="G75" s="208">
        <f>3.4/5*3</f>
        <v>2.04</v>
      </c>
      <c r="H75" s="208">
        <f>0.65/5*3</f>
        <v>0.39</v>
      </c>
      <c r="I75" s="208">
        <f>19.9/5*3</f>
        <v>11.939999999999998</v>
      </c>
      <c r="J75" s="209">
        <f>100.5/5*3</f>
        <v>60.300000000000004</v>
      </c>
      <c r="K75" s="218"/>
      <c r="L75" s="219" t="s">
        <v>30</v>
      </c>
      <c r="M75" s="220">
        <f t="shared" si="115"/>
        <v>65</v>
      </c>
      <c r="N75" s="205" t="s">
        <v>31</v>
      </c>
      <c r="O75" s="206" t="s">
        <v>29</v>
      </c>
      <c r="P75" s="207">
        <v>6</v>
      </c>
      <c r="Q75" s="208">
        <f>3.4/5*3</f>
        <v>2.04</v>
      </c>
      <c r="R75" s="208">
        <f>0.65/5*3</f>
        <v>0.39</v>
      </c>
      <c r="S75" s="208">
        <f>19.9/5*3</f>
        <v>11.939999999999998</v>
      </c>
      <c r="T75" s="209">
        <f>100.5/5*3</f>
        <v>60.300000000000004</v>
      </c>
      <c r="U75" s="218"/>
      <c r="V75" s="219" t="s">
        <v>30</v>
      </c>
      <c r="W75" s="220">
        <f t="shared" si="116"/>
        <v>95</v>
      </c>
      <c r="X75" s="205" t="s">
        <v>31</v>
      </c>
      <c r="Y75" s="206" t="s">
        <v>29</v>
      </c>
      <c r="Z75" s="207">
        <v>6</v>
      </c>
      <c r="AA75" s="208">
        <f>3.4/5*3</f>
        <v>2.04</v>
      </c>
      <c r="AB75" s="208">
        <f>0.65/5*3</f>
        <v>0.39</v>
      </c>
      <c r="AC75" s="208">
        <f>19.9/5*3</f>
        <v>11.939999999999998</v>
      </c>
      <c r="AD75" s="209">
        <f>100.5/5*3</f>
        <v>60.300000000000004</v>
      </c>
      <c r="AE75" s="221"/>
      <c r="AF75" s="219" t="s">
        <v>30</v>
      </c>
      <c r="AG75" s="220">
        <f t="shared" si="117"/>
        <v>10</v>
      </c>
      <c r="AH75" s="205" t="s">
        <v>31</v>
      </c>
      <c r="AI75" s="206" t="s">
        <v>29</v>
      </c>
      <c r="AJ75" s="207">
        <v>6</v>
      </c>
      <c r="AK75" s="208">
        <f>3.4/5*3</f>
        <v>2.04</v>
      </c>
      <c r="AL75" s="208">
        <f>0.65/5*3</f>
        <v>0.39</v>
      </c>
      <c r="AM75" s="208">
        <f>19.9/5*3</f>
        <v>11.939999999999998</v>
      </c>
      <c r="AN75" s="209">
        <f>100.5/5*3</f>
        <v>60.300000000000004</v>
      </c>
    </row>
    <row r="76" spans="1:41" s="23" customFormat="1" ht="29.25" customHeight="1" thickBot="1" x14ac:dyDescent="0.3">
      <c r="A76" s="293" t="s">
        <v>22</v>
      </c>
      <c r="B76" s="294"/>
      <c r="C76" s="294"/>
      <c r="D76" s="212"/>
      <c r="E76" s="213"/>
      <c r="F76" s="214">
        <f>SUM(F69:F75)</f>
        <v>210.6</v>
      </c>
      <c r="G76" s="214">
        <f>SUM(G69:G75)</f>
        <v>27.022500000000001</v>
      </c>
      <c r="H76" s="214">
        <f>SUM(H69:H75)</f>
        <v>26.922499999999999</v>
      </c>
      <c r="I76" s="214">
        <f>SUM(I69:I75)</f>
        <v>120.10249999999999</v>
      </c>
      <c r="J76" s="215">
        <f>SUM(J69:J75)</f>
        <v>860.18</v>
      </c>
      <c r="K76" s="293" t="s">
        <v>22</v>
      </c>
      <c r="L76" s="294"/>
      <c r="M76" s="294"/>
      <c r="N76" s="212"/>
      <c r="O76" s="213"/>
      <c r="P76" s="214">
        <f>SUM(P69:P75)</f>
        <v>223.2</v>
      </c>
      <c r="Q76" s="214">
        <f>SUM(Q69:Q75)</f>
        <v>28.999000000000002</v>
      </c>
      <c r="R76" s="214">
        <f>SUM(R69:R75)</f>
        <v>28.562999999999999</v>
      </c>
      <c r="S76" s="214">
        <f>SUM(S69:S75)</f>
        <v>130.88499999999999</v>
      </c>
      <c r="T76" s="215">
        <f>SUM(T69:T75)</f>
        <v>941.572</v>
      </c>
      <c r="U76" s="280" t="s">
        <v>22</v>
      </c>
      <c r="V76" s="281"/>
      <c r="W76" s="281"/>
      <c r="X76" s="212"/>
      <c r="Y76" s="213"/>
      <c r="Z76" s="214">
        <f>SUM(Z69:Z75)</f>
        <v>210.6</v>
      </c>
      <c r="AA76" s="214">
        <f>SUM(AA69:AA75)</f>
        <v>27.022500000000001</v>
      </c>
      <c r="AB76" s="214">
        <f>SUM(AB69:AB75)</f>
        <v>26.922499999999999</v>
      </c>
      <c r="AC76" s="214">
        <f>SUM(AC69:AC75)</f>
        <v>120.10249999999999</v>
      </c>
      <c r="AD76" s="215">
        <f>SUM(AD69:AD75)</f>
        <v>860.18</v>
      </c>
      <c r="AE76" s="279" t="s">
        <v>22</v>
      </c>
      <c r="AF76" s="281"/>
      <c r="AG76" s="281"/>
      <c r="AH76" s="212"/>
      <c r="AI76" s="213"/>
      <c r="AJ76" s="214">
        <f>SUM(AJ69:AJ75)</f>
        <v>223.2</v>
      </c>
      <c r="AK76" s="214">
        <f>SUM(AK69:AK75)</f>
        <v>28.999000000000002</v>
      </c>
      <c r="AL76" s="214">
        <f>SUM(AL69:AL75)</f>
        <v>28.562999999999999</v>
      </c>
      <c r="AM76" s="214">
        <f>SUM(AM69:AM75)</f>
        <v>130.88499999999999</v>
      </c>
      <c r="AN76" s="215">
        <f>SUM(AN69:AN75)</f>
        <v>941.572</v>
      </c>
    </row>
    <row r="77" spans="1:41" s="23" customFormat="1" ht="29.25" customHeight="1" x14ac:dyDescent="0.3">
      <c r="A77" s="95" t="s">
        <v>32</v>
      </c>
      <c r="B77" s="51" t="s">
        <v>18</v>
      </c>
      <c r="C77" s="96">
        <v>93</v>
      </c>
      <c r="D77" s="222" t="s">
        <v>59</v>
      </c>
      <c r="E77" s="223" t="s">
        <v>60</v>
      </c>
      <c r="F77" s="7">
        <v>59.2</v>
      </c>
      <c r="G77" s="224">
        <f>5.6+0.2</f>
        <v>5.8</v>
      </c>
      <c r="H77" s="224">
        <f>6.4</f>
        <v>6.4</v>
      </c>
      <c r="I77" s="224">
        <f>9.4</f>
        <v>9.4</v>
      </c>
      <c r="J77" s="225">
        <f>118</f>
        <v>118</v>
      </c>
      <c r="K77" s="95" t="s">
        <v>32</v>
      </c>
      <c r="L77" s="51" t="s">
        <v>18</v>
      </c>
      <c r="M77" s="96">
        <v>30</v>
      </c>
      <c r="N77" s="26" t="s">
        <v>59</v>
      </c>
      <c r="O77" s="27" t="s">
        <v>60</v>
      </c>
      <c r="P77" s="7">
        <v>59.2</v>
      </c>
      <c r="Q77" s="8">
        <f>5.6+0.2</f>
        <v>5.8</v>
      </c>
      <c r="R77" s="8">
        <f>6.4</f>
        <v>6.4</v>
      </c>
      <c r="S77" s="8">
        <f>9.4</f>
        <v>9.4</v>
      </c>
      <c r="T77" s="9">
        <f>118</f>
        <v>118</v>
      </c>
      <c r="U77" s="95" t="s">
        <v>32</v>
      </c>
      <c r="V77" s="51" t="s">
        <v>18</v>
      </c>
      <c r="W77" s="96">
        <v>0</v>
      </c>
      <c r="X77" s="222" t="s">
        <v>59</v>
      </c>
      <c r="Y77" s="223" t="s">
        <v>60</v>
      </c>
      <c r="Z77" s="7">
        <v>59.2</v>
      </c>
      <c r="AA77" s="224">
        <f>5.6+0.2</f>
        <v>5.8</v>
      </c>
      <c r="AB77" s="224">
        <f>6.4</f>
        <v>6.4</v>
      </c>
      <c r="AC77" s="224">
        <f>9.4</f>
        <v>9.4</v>
      </c>
      <c r="AD77" s="226">
        <f>118</f>
        <v>118</v>
      </c>
      <c r="AE77" s="95" t="s">
        <v>32</v>
      </c>
      <c r="AF77" s="51" t="s">
        <v>18</v>
      </c>
      <c r="AG77" s="96">
        <v>0</v>
      </c>
      <c r="AH77" s="26" t="s">
        <v>59</v>
      </c>
      <c r="AI77" s="27" t="s">
        <v>60</v>
      </c>
      <c r="AJ77" s="7">
        <v>59.2</v>
      </c>
      <c r="AK77" s="8">
        <f>5.6+0.2</f>
        <v>5.8</v>
      </c>
      <c r="AL77" s="8">
        <f>6.4</f>
        <v>6.4</v>
      </c>
      <c r="AM77" s="8">
        <f>9.4</f>
        <v>9.4</v>
      </c>
      <c r="AN77" s="9">
        <f>118</f>
        <v>118</v>
      </c>
      <c r="AO77" s="1"/>
    </row>
    <row r="78" spans="1:41" s="32" customFormat="1" ht="26.25" customHeight="1" x14ac:dyDescent="0.25">
      <c r="A78" s="60"/>
      <c r="B78" s="88" t="s">
        <v>61</v>
      </c>
      <c r="C78" s="92">
        <f>C77</f>
        <v>93</v>
      </c>
      <c r="D78" s="77" t="s">
        <v>101</v>
      </c>
      <c r="E78" s="84" t="s">
        <v>33</v>
      </c>
      <c r="F78" s="12">
        <v>38</v>
      </c>
      <c r="G78" s="13">
        <v>4.96</v>
      </c>
      <c r="H78" s="13">
        <f>8.14-1.4</f>
        <v>6.74</v>
      </c>
      <c r="I78" s="13">
        <f>36.24+12.6</f>
        <v>48.84</v>
      </c>
      <c r="J78" s="14">
        <f>238+38</f>
        <v>276</v>
      </c>
      <c r="K78" s="60"/>
      <c r="L78" s="88" t="s">
        <v>61</v>
      </c>
      <c r="M78" s="92">
        <f>M77</f>
        <v>30</v>
      </c>
      <c r="N78" s="77" t="s">
        <v>101</v>
      </c>
      <c r="O78" s="84" t="s">
        <v>33</v>
      </c>
      <c r="P78" s="12">
        <v>38</v>
      </c>
      <c r="Q78" s="13">
        <v>4.96</v>
      </c>
      <c r="R78" s="13">
        <f>8.14-1.4</f>
        <v>6.74</v>
      </c>
      <c r="S78" s="13">
        <f>36.24+12.6</f>
        <v>48.84</v>
      </c>
      <c r="T78" s="14">
        <f>238+38</f>
        <v>276</v>
      </c>
      <c r="U78" s="60"/>
      <c r="V78" s="88" t="s">
        <v>61</v>
      </c>
      <c r="W78" s="92">
        <f>W77</f>
        <v>0</v>
      </c>
      <c r="X78" s="77" t="s">
        <v>101</v>
      </c>
      <c r="Y78" s="84" t="s">
        <v>33</v>
      </c>
      <c r="Z78" s="12">
        <v>38</v>
      </c>
      <c r="AA78" s="13">
        <v>4.96</v>
      </c>
      <c r="AB78" s="13">
        <f>8.14-1.4</f>
        <v>6.74</v>
      </c>
      <c r="AC78" s="13">
        <f>36.24+12.6</f>
        <v>48.84</v>
      </c>
      <c r="AD78" s="227">
        <f>238+38</f>
        <v>276</v>
      </c>
      <c r="AE78" s="60"/>
      <c r="AF78" s="88" t="s">
        <v>61</v>
      </c>
      <c r="AG78" s="92">
        <f>AG77</f>
        <v>0</v>
      </c>
      <c r="AH78" s="77" t="s">
        <v>101</v>
      </c>
      <c r="AI78" s="84" t="s">
        <v>33</v>
      </c>
      <c r="AJ78" s="12">
        <v>38</v>
      </c>
      <c r="AK78" s="13">
        <v>4.96</v>
      </c>
      <c r="AL78" s="13">
        <f>8.14-1.4</f>
        <v>6.74</v>
      </c>
      <c r="AM78" s="13">
        <f>36.24+12.6</f>
        <v>48.84</v>
      </c>
      <c r="AN78" s="14">
        <f>238+38</f>
        <v>276</v>
      </c>
    </row>
    <row r="79" spans="1:41" s="32" customFormat="1" ht="24.95" customHeight="1" thickBot="1" x14ac:dyDescent="0.35">
      <c r="A79" s="99"/>
      <c r="B79" s="80"/>
      <c r="C79" s="100"/>
      <c r="D79" s="78"/>
      <c r="E79" s="79"/>
      <c r="F79" s="25"/>
      <c r="G79" s="57"/>
      <c r="H79" s="57"/>
      <c r="I79" s="57"/>
      <c r="J79" s="58"/>
      <c r="K79" s="99"/>
      <c r="L79" s="24" t="s">
        <v>64</v>
      </c>
      <c r="M79" s="94">
        <f>M78</f>
        <v>30</v>
      </c>
      <c r="N79" s="18" t="s">
        <v>65</v>
      </c>
      <c r="O79" s="19" t="s">
        <v>33</v>
      </c>
      <c r="P79" s="25">
        <v>9</v>
      </c>
      <c r="Q79" s="21">
        <v>1.1000000000000001</v>
      </c>
      <c r="R79" s="21">
        <v>1.3</v>
      </c>
      <c r="S79" s="21">
        <v>10.9</v>
      </c>
      <c r="T79" s="22">
        <v>72</v>
      </c>
      <c r="U79" s="99"/>
      <c r="V79" s="80"/>
      <c r="W79" s="100"/>
      <c r="X79" s="78"/>
      <c r="Y79" s="79"/>
      <c r="Z79" s="25"/>
      <c r="AA79" s="57"/>
      <c r="AB79" s="57"/>
      <c r="AC79" s="57"/>
      <c r="AD79" s="228"/>
      <c r="AE79" s="99"/>
      <c r="AF79" s="24" t="s">
        <v>64</v>
      </c>
      <c r="AG79" s="94">
        <f>AG78</f>
        <v>0</v>
      </c>
      <c r="AH79" s="18" t="s">
        <v>65</v>
      </c>
      <c r="AI79" s="19" t="s">
        <v>33</v>
      </c>
      <c r="AJ79" s="25">
        <v>9</v>
      </c>
      <c r="AK79" s="21">
        <v>1.1000000000000001</v>
      </c>
      <c r="AL79" s="21">
        <v>1.3</v>
      </c>
      <c r="AM79" s="21">
        <v>10.9</v>
      </c>
      <c r="AN79" s="22">
        <v>72</v>
      </c>
    </row>
    <row r="80" spans="1:41" ht="24.95" customHeight="1" thickBot="1" x14ac:dyDescent="0.3">
      <c r="A80" s="286" t="s">
        <v>22</v>
      </c>
      <c r="B80" s="287"/>
      <c r="C80" s="288"/>
      <c r="D80" s="28"/>
      <c r="E80" s="29"/>
      <c r="F80" s="30">
        <f>SUM(F77:F78)</f>
        <v>97.2</v>
      </c>
      <c r="G80" s="30">
        <f>SUM(G77:G78)</f>
        <v>10.76</v>
      </c>
      <c r="H80" s="30">
        <f>SUM(H77:H78)</f>
        <v>13.14</v>
      </c>
      <c r="I80" s="30">
        <f>SUM(I77:I78)</f>
        <v>58.24</v>
      </c>
      <c r="J80" s="31">
        <f>SUM(J77:J78)</f>
        <v>394</v>
      </c>
      <c r="K80" s="286" t="s">
        <v>22</v>
      </c>
      <c r="L80" s="287"/>
      <c r="M80" s="288"/>
      <c r="N80" s="28"/>
      <c r="O80" s="55"/>
      <c r="P80" s="30">
        <f>SUM(P77:P79)</f>
        <v>106.2</v>
      </c>
      <c r="Q80" s="30">
        <f>SUM(Q77:Q79)</f>
        <v>11.86</v>
      </c>
      <c r="R80" s="30">
        <f>SUM(R77:R79)</f>
        <v>14.440000000000001</v>
      </c>
      <c r="S80" s="30">
        <f>SUM(S77:S79)</f>
        <v>69.14</v>
      </c>
      <c r="T80" s="31">
        <f>SUM(T77:T79)</f>
        <v>466</v>
      </c>
      <c r="U80" s="56" t="s">
        <v>22</v>
      </c>
      <c r="V80" s="69"/>
      <c r="W80" s="277"/>
      <c r="X80" s="28"/>
      <c r="Y80" s="29"/>
      <c r="Z80" s="30">
        <f>SUM(Z77:Z78)</f>
        <v>97.2</v>
      </c>
      <c r="AA80" s="30">
        <f>SUM(AA77:AA78)</f>
        <v>10.76</v>
      </c>
      <c r="AB80" s="30">
        <f>SUM(AB77:AB78)</f>
        <v>13.14</v>
      </c>
      <c r="AC80" s="30">
        <f>SUM(AC77:AC78)</f>
        <v>58.24</v>
      </c>
      <c r="AD80" s="31">
        <f>SUM(AD77:AD78)</f>
        <v>394</v>
      </c>
      <c r="AE80" s="69" t="s">
        <v>22</v>
      </c>
      <c r="AF80" s="69"/>
      <c r="AG80" s="277"/>
      <c r="AH80" s="28"/>
      <c r="AI80" s="55"/>
      <c r="AJ80" s="30">
        <f>SUM(AJ77:AJ79)</f>
        <v>106.2</v>
      </c>
      <c r="AK80" s="30">
        <f>SUM(AK77:AK79)</f>
        <v>11.86</v>
      </c>
      <c r="AL80" s="30">
        <f>SUM(AL77:AL79)</f>
        <v>14.440000000000001</v>
      </c>
      <c r="AM80" s="30">
        <f>SUM(AM77:AM79)</f>
        <v>69.14</v>
      </c>
      <c r="AN80" s="31">
        <f>SUM(AN77:AN79)</f>
        <v>466</v>
      </c>
    </row>
    <row r="81" spans="1:41" ht="24.95" customHeight="1" x14ac:dyDescent="0.25">
      <c r="A81" s="32"/>
      <c r="B81" s="32"/>
      <c r="C81" s="33"/>
      <c r="D81" s="33" t="s">
        <v>34</v>
      </c>
      <c r="E81" s="34"/>
      <c r="F81" s="35" t="s">
        <v>35</v>
      </c>
      <c r="G81" s="36"/>
      <c r="H81" s="32"/>
      <c r="I81" s="52"/>
      <c r="J81" s="32"/>
      <c r="K81" s="32"/>
      <c r="L81" s="32"/>
      <c r="M81" s="32"/>
      <c r="N81" s="33" t="s">
        <v>34</v>
      </c>
      <c r="O81" s="34"/>
      <c r="P81" s="35" t="s">
        <v>35</v>
      </c>
      <c r="Q81" s="36"/>
      <c r="R81" s="32"/>
      <c r="S81" s="52"/>
      <c r="T81" s="32"/>
      <c r="U81" s="32"/>
      <c r="V81" s="32"/>
      <c r="W81" s="33"/>
      <c r="X81" s="33" t="s">
        <v>34</v>
      </c>
      <c r="Y81" s="34"/>
      <c r="Z81" s="35" t="s">
        <v>35</v>
      </c>
      <c r="AA81" s="36"/>
      <c r="AB81" s="32"/>
      <c r="AC81" s="52"/>
      <c r="AD81" s="32"/>
      <c r="AE81" s="32"/>
      <c r="AF81" s="32"/>
      <c r="AG81" s="32"/>
      <c r="AH81" s="33" t="s">
        <v>34</v>
      </c>
      <c r="AI81" s="34"/>
      <c r="AJ81" s="35" t="s">
        <v>35</v>
      </c>
      <c r="AK81" s="36"/>
      <c r="AL81" s="32"/>
      <c r="AM81" s="52"/>
      <c r="AN81" s="32"/>
    </row>
    <row r="82" spans="1:41" ht="21" customHeight="1" x14ac:dyDescent="0.25">
      <c r="A82" s="32"/>
      <c r="B82" s="32"/>
      <c r="C82" s="33"/>
      <c r="D82" s="33"/>
      <c r="E82" s="34"/>
      <c r="F82" s="35"/>
      <c r="G82" s="36"/>
      <c r="H82" s="32"/>
      <c r="I82" s="32"/>
      <c r="J82" s="32"/>
      <c r="K82" s="32"/>
      <c r="L82" s="32"/>
      <c r="M82" s="32"/>
      <c r="N82" s="33"/>
      <c r="O82" s="34"/>
      <c r="P82" s="35"/>
      <c r="Q82" s="36"/>
      <c r="R82" s="32"/>
      <c r="S82" s="32"/>
      <c r="T82" s="32"/>
      <c r="U82" s="32"/>
      <c r="V82" s="32"/>
      <c r="W82" s="33"/>
      <c r="X82" s="33"/>
      <c r="Y82" s="34"/>
      <c r="Z82" s="35"/>
      <c r="AA82" s="36"/>
      <c r="AB82" s="32"/>
      <c r="AC82" s="32"/>
      <c r="AD82" s="32"/>
      <c r="AE82" s="32"/>
      <c r="AF82" s="32"/>
      <c r="AG82" s="32"/>
      <c r="AH82" s="33"/>
      <c r="AI82" s="34"/>
      <c r="AJ82" s="35"/>
      <c r="AK82" s="36"/>
      <c r="AL82" s="32"/>
      <c r="AM82" s="32"/>
      <c r="AN82" s="32"/>
      <c r="AO82" s="53"/>
    </row>
    <row r="83" spans="1:41" s="53" customFormat="1" ht="27.75" customHeight="1" x14ac:dyDescent="0.25">
      <c r="A83" s="32"/>
      <c r="B83" s="32"/>
      <c r="C83" s="37"/>
      <c r="D83" s="37" t="s">
        <v>36</v>
      </c>
      <c r="E83" s="38"/>
      <c r="F83" s="102" t="s">
        <v>37</v>
      </c>
      <c r="G83" s="36"/>
      <c r="H83" s="32"/>
      <c r="I83" s="32"/>
      <c r="J83" s="32"/>
      <c r="K83" s="32"/>
      <c r="L83" s="32"/>
      <c r="M83" s="32"/>
      <c r="N83" s="37" t="s">
        <v>36</v>
      </c>
      <c r="O83" s="38"/>
      <c r="P83" s="102" t="s">
        <v>37</v>
      </c>
      <c r="Q83" s="36"/>
      <c r="R83" s="32"/>
      <c r="S83" s="32"/>
      <c r="T83" s="32"/>
      <c r="U83" s="32"/>
      <c r="V83" s="32"/>
      <c r="W83" s="37"/>
      <c r="X83" s="37" t="s">
        <v>36</v>
      </c>
      <c r="Y83" s="38"/>
      <c r="Z83" s="102" t="s">
        <v>37</v>
      </c>
      <c r="AA83" s="36"/>
      <c r="AB83" s="32"/>
      <c r="AC83" s="32"/>
      <c r="AD83" s="32"/>
      <c r="AE83" s="32"/>
      <c r="AF83" s="32"/>
      <c r="AG83" s="32"/>
      <c r="AH83" s="37" t="s">
        <v>36</v>
      </c>
      <c r="AI83" s="38"/>
      <c r="AJ83" s="102" t="s">
        <v>37</v>
      </c>
      <c r="AK83" s="36"/>
      <c r="AL83" s="32"/>
      <c r="AM83" s="32"/>
      <c r="AN83" s="32"/>
    </row>
    <row r="84" spans="1:41" s="53" customFormat="1" ht="27" customHeight="1" x14ac:dyDescent="0.25">
      <c r="A84" s="103" t="s">
        <v>66</v>
      </c>
      <c r="B84" s="104"/>
      <c r="C84" s="104"/>
      <c r="D84" s="102"/>
      <c r="E84" s="104" t="s">
        <v>67</v>
      </c>
      <c r="F84" s="105"/>
      <c r="G84" s="106"/>
      <c r="H84" s="106">
        <f>AL26+1</f>
        <v>3416</v>
      </c>
      <c r="I84" s="289">
        <f>J60</f>
        <v>44484</v>
      </c>
      <c r="J84" s="289"/>
      <c r="K84" s="103" t="s">
        <v>66</v>
      </c>
      <c r="L84" s="104"/>
      <c r="M84" s="104"/>
      <c r="N84" s="102"/>
      <c r="O84" s="104" t="s">
        <v>67</v>
      </c>
      <c r="P84" s="105"/>
      <c r="Q84" s="106"/>
      <c r="R84" s="106">
        <f>H84+1</f>
        <v>3417</v>
      </c>
      <c r="S84" s="289">
        <f>T60</f>
        <v>44484</v>
      </c>
      <c r="T84" s="289"/>
      <c r="U84" s="229"/>
      <c r="V84" s="230"/>
      <c r="W84" s="231"/>
      <c r="X84" s="232"/>
      <c r="Y84" s="233"/>
      <c r="Z84" s="233"/>
      <c r="AA84" s="234"/>
      <c r="AB84" s="233"/>
      <c r="AC84" s="233"/>
      <c r="AD84" s="233"/>
      <c r="AE84" s="235"/>
      <c r="AF84" s="230"/>
      <c r="AG84" s="231"/>
      <c r="AH84" s="232"/>
      <c r="AI84" s="233"/>
      <c r="AJ84" s="233"/>
      <c r="AK84" s="234"/>
      <c r="AL84" s="233"/>
      <c r="AM84" s="233"/>
      <c r="AN84" s="233"/>
    </row>
    <row r="85" spans="1:41" s="53" customFormat="1" ht="23.25" customHeight="1" x14ac:dyDescent="0.25">
      <c r="A85" s="103" t="s">
        <v>69</v>
      </c>
      <c r="B85" s="104"/>
      <c r="C85" s="105"/>
      <c r="D85" s="105"/>
      <c r="E85" s="105"/>
      <c r="F85" s="105"/>
      <c r="G85" s="102"/>
      <c r="H85" s="102"/>
      <c r="I85" s="106"/>
      <c r="J85" s="236"/>
      <c r="K85" s="103" t="s">
        <v>69</v>
      </c>
      <c r="L85" s="104"/>
      <c r="M85" s="105"/>
      <c r="N85" s="105"/>
      <c r="O85" s="105"/>
      <c r="P85" s="105"/>
      <c r="Q85" s="102"/>
      <c r="R85" s="102"/>
      <c r="S85" s="106"/>
      <c r="T85" s="236"/>
      <c r="U85" s="229"/>
      <c r="V85" s="230"/>
      <c r="W85" s="231"/>
      <c r="X85" s="232"/>
      <c r="Y85" s="233"/>
      <c r="Z85" s="233"/>
      <c r="AA85" s="237"/>
      <c r="AB85" s="233"/>
      <c r="AC85" s="233"/>
      <c r="AD85" s="233"/>
      <c r="AE85" s="235"/>
      <c r="AF85" s="230"/>
      <c r="AG85" s="231"/>
      <c r="AH85" s="232"/>
      <c r="AI85" s="233"/>
      <c r="AJ85" s="233"/>
      <c r="AK85" s="237"/>
      <c r="AL85" s="233"/>
      <c r="AM85" s="233"/>
      <c r="AN85" s="233"/>
    </row>
    <row r="86" spans="1:41" s="53" customFormat="1" ht="23.25" customHeight="1" thickBot="1" x14ac:dyDescent="0.3">
      <c r="A86" s="103" t="s">
        <v>102</v>
      </c>
      <c r="B86" s="103"/>
      <c r="C86" s="238"/>
      <c r="D86" s="238"/>
      <c r="E86" s="105"/>
      <c r="F86" s="105"/>
      <c r="G86" s="239"/>
      <c r="H86" s="102"/>
      <c r="I86" s="102"/>
      <c r="J86" s="102"/>
      <c r="K86" s="103" t="s">
        <v>102</v>
      </c>
      <c r="L86" s="103"/>
      <c r="M86" s="238"/>
      <c r="N86" s="238"/>
      <c r="O86" s="105"/>
      <c r="P86" s="105"/>
      <c r="Q86" s="239"/>
      <c r="R86" s="102"/>
      <c r="S86" s="102"/>
      <c r="T86" s="102"/>
      <c r="U86" s="229"/>
      <c r="V86" s="230"/>
      <c r="W86" s="231"/>
      <c r="X86" s="232"/>
      <c r="Y86" s="233"/>
      <c r="Z86" s="233"/>
      <c r="AA86" s="234"/>
      <c r="AB86" s="233"/>
      <c r="AC86" s="233"/>
      <c r="AD86" s="233"/>
      <c r="AE86" s="235"/>
      <c r="AF86" s="230"/>
      <c r="AG86" s="231"/>
      <c r="AH86" s="232"/>
      <c r="AI86" s="233"/>
      <c r="AJ86" s="233"/>
      <c r="AK86" s="234"/>
      <c r="AL86" s="233"/>
      <c r="AM86" s="233"/>
      <c r="AN86" s="233"/>
    </row>
    <row r="87" spans="1:41" s="53" customFormat="1" ht="43.5" customHeight="1" thickBot="1" x14ac:dyDescent="0.3">
      <c r="A87" s="117" t="s">
        <v>72</v>
      </c>
      <c r="B87" s="118" t="s">
        <v>48</v>
      </c>
      <c r="C87" s="118" t="s">
        <v>73</v>
      </c>
      <c r="D87" s="118" t="s">
        <v>74</v>
      </c>
      <c r="E87" s="119" t="s">
        <v>75</v>
      </c>
      <c r="F87" s="119" t="s">
        <v>76</v>
      </c>
      <c r="G87" s="119" t="s">
        <v>77</v>
      </c>
      <c r="H87" s="119" t="s">
        <v>76</v>
      </c>
      <c r="I87" s="119" t="s">
        <v>78</v>
      </c>
      <c r="J87" s="120" t="s">
        <v>76</v>
      </c>
      <c r="K87" s="117" t="s">
        <v>72</v>
      </c>
      <c r="L87" s="118" t="s">
        <v>48</v>
      </c>
      <c r="M87" s="118" t="s">
        <v>73</v>
      </c>
      <c r="N87" s="118" t="s">
        <v>74</v>
      </c>
      <c r="O87" s="119" t="s">
        <v>75</v>
      </c>
      <c r="P87" s="119" t="s">
        <v>76</v>
      </c>
      <c r="Q87" s="119" t="s">
        <v>77</v>
      </c>
      <c r="R87" s="119" t="s">
        <v>76</v>
      </c>
      <c r="S87" s="119" t="s">
        <v>78</v>
      </c>
      <c r="T87" s="120" t="s">
        <v>76</v>
      </c>
      <c r="U87" s="229"/>
      <c r="V87" s="230"/>
      <c r="W87" s="231"/>
      <c r="X87" s="232"/>
      <c r="Y87" s="233"/>
      <c r="Z87" s="233"/>
      <c r="AA87" s="234"/>
      <c r="AB87" s="233"/>
      <c r="AC87" s="233"/>
      <c r="AD87" s="233"/>
      <c r="AE87" s="235"/>
      <c r="AF87" s="230"/>
      <c r="AG87" s="231"/>
      <c r="AH87" s="232"/>
      <c r="AI87" s="233"/>
      <c r="AJ87" s="233"/>
      <c r="AK87" s="234"/>
      <c r="AL87" s="233"/>
      <c r="AM87" s="233"/>
      <c r="AN87" s="233"/>
    </row>
    <row r="88" spans="1:41" s="53" customFormat="1" ht="15" customHeight="1" x14ac:dyDescent="0.25">
      <c r="A88" s="122"/>
      <c r="B88" s="123" t="str">
        <f>A63</f>
        <v>Завтрак</v>
      </c>
      <c r="C88" s="124"/>
      <c r="D88" s="124"/>
      <c r="E88" s="125"/>
      <c r="F88" s="125"/>
      <c r="G88" s="125"/>
      <c r="H88" s="125"/>
      <c r="I88" s="125"/>
      <c r="J88" s="126"/>
      <c r="K88" s="127"/>
      <c r="L88" s="123" t="str">
        <f>K63</f>
        <v>Завтрак</v>
      </c>
      <c r="M88" s="124"/>
      <c r="N88" s="124"/>
      <c r="O88" s="125"/>
      <c r="P88" s="125"/>
      <c r="Q88" s="125"/>
      <c r="R88" s="125"/>
      <c r="S88" s="125"/>
      <c r="T88" s="126"/>
      <c r="U88" s="229"/>
      <c r="V88" s="230"/>
      <c r="W88" s="231"/>
      <c r="X88" s="232"/>
      <c r="Y88" s="233"/>
      <c r="Z88" s="233"/>
      <c r="AA88" s="234"/>
      <c r="AB88" s="233"/>
      <c r="AC88" s="233"/>
      <c r="AD88" s="233"/>
      <c r="AE88" s="235"/>
      <c r="AF88" s="230"/>
      <c r="AG88" s="231"/>
      <c r="AH88" s="232"/>
      <c r="AI88" s="233"/>
      <c r="AJ88" s="233"/>
      <c r="AK88" s="234"/>
      <c r="AL88" s="233"/>
      <c r="AM88" s="233"/>
      <c r="AN88" s="233"/>
    </row>
    <row r="89" spans="1:41" s="53" customFormat="1" ht="15" customHeight="1" x14ac:dyDescent="0.25">
      <c r="A89" s="129">
        <v>1</v>
      </c>
      <c r="B89" s="130">
        <f>C63</f>
        <v>235</v>
      </c>
      <c r="C89" s="131" t="str">
        <f>E63</f>
        <v>1/150</v>
      </c>
      <c r="D89" s="132" t="str">
        <f>D63</f>
        <v xml:space="preserve">Омлет натуральный </v>
      </c>
      <c r="E89" s="133">
        <f>G89/2.5</f>
        <v>24.479999999999997</v>
      </c>
      <c r="F89" s="133">
        <f>E89*B89</f>
        <v>5752.7999999999993</v>
      </c>
      <c r="G89" s="134">
        <f>40.8*1.5</f>
        <v>61.199999999999996</v>
      </c>
      <c r="H89" s="133">
        <f>G89*B89</f>
        <v>14381.999999999998</v>
      </c>
      <c r="I89" s="133">
        <f>F63</f>
        <v>73</v>
      </c>
      <c r="J89" s="135">
        <f>I89*B89</f>
        <v>17155</v>
      </c>
      <c r="K89" s="136">
        <v>1</v>
      </c>
      <c r="L89" s="130">
        <f>M63</f>
        <v>65</v>
      </c>
      <c r="M89" s="131" t="str">
        <f>O63</f>
        <v>1/150</v>
      </c>
      <c r="N89" s="132" t="str">
        <f>N63</f>
        <v xml:space="preserve">Омлет натуральный </v>
      </c>
      <c r="O89" s="133">
        <f>Q89/2.5</f>
        <v>16.32</v>
      </c>
      <c r="P89" s="133">
        <f>O89*L89</f>
        <v>1060.8</v>
      </c>
      <c r="Q89" s="134">
        <v>40.799999999999997</v>
      </c>
      <c r="R89" s="133">
        <f>Q89*L89</f>
        <v>2652</v>
      </c>
      <c r="S89" s="133">
        <f>P63</f>
        <v>73</v>
      </c>
      <c r="T89" s="135">
        <f>S89*L89</f>
        <v>4745</v>
      </c>
      <c r="U89" s="229"/>
      <c r="V89" s="230"/>
      <c r="W89" s="231"/>
      <c r="X89" s="232"/>
      <c r="Y89" s="233"/>
      <c r="Z89" s="233"/>
      <c r="AA89" s="234"/>
      <c r="AB89" s="233"/>
      <c r="AC89" s="233"/>
      <c r="AD89" s="233"/>
      <c r="AE89" s="235"/>
      <c r="AF89" s="230"/>
      <c r="AG89" s="231"/>
      <c r="AH89" s="232"/>
      <c r="AI89" s="233"/>
      <c r="AJ89" s="233"/>
      <c r="AK89" s="234"/>
      <c r="AL89" s="233"/>
      <c r="AM89" s="233"/>
      <c r="AN89" s="233"/>
    </row>
    <row r="90" spans="1:41" s="53" customFormat="1" ht="17.25" customHeight="1" x14ac:dyDescent="0.25">
      <c r="A90" s="129">
        <f>A89+1</f>
        <v>2</v>
      </c>
      <c r="B90" s="130">
        <f>B89</f>
        <v>235</v>
      </c>
      <c r="C90" s="131" t="str">
        <f>E64</f>
        <v>1/10</v>
      </c>
      <c r="D90" s="132" t="str">
        <f>D64</f>
        <v>Зеленый горошек</v>
      </c>
      <c r="E90" s="133">
        <f t="shared" ref="E90:E93" si="118">G90/2.5</f>
        <v>1.2506666666666668</v>
      </c>
      <c r="F90" s="133">
        <f t="shared" ref="F90:F93" si="119">E90*B90</f>
        <v>293.90666666666669</v>
      </c>
      <c r="G90" s="134">
        <f>4.69/1.5</f>
        <v>3.1266666666666669</v>
      </c>
      <c r="H90" s="133">
        <f t="shared" ref="H90:H93" si="120">G90*B90</f>
        <v>734.76666666666677</v>
      </c>
      <c r="I90" s="133">
        <f>F64</f>
        <v>5</v>
      </c>
      <c r="J90" s="135">
        <f t="shared" ref="J90:J93" si="121">I90*B90</f>
        <v>1175</v>
      </c>
      <c r="K90" s="136">
        <f>K89+1</f>
        <v>2</v>
      </c>
      <c r="L90" s="130">
        <f>L89</f>
        <v>65</v>
      </c>
      <c r="M90" s="131" t="str">
        <f>O64</f>
        <v>1/10</v>
      </c>
      <c r="N90" s="132" t="str">
        <f>N64</f>
        <v>Зеленый горошек</v>
      </c>
      <c r="O90" s="133">
        <f t="shared" ref="O90:O93" si="122">Q90/2.5</f>
        <v>2.544</v>
      </c>
      <c r="P90" s="133">
        <f t="shared" ref="P90:P93" si="123">O90*L90</f>
        <v>165.36</v>
      </c>
      <c r="Q90" s="134">
        <v>6.36</v>
      </c>
      <c r="R90" s="133">
        <f t="shared" ref="R90:R93" si="124">Q90*L90</f>
        <v>413.40000000000003</v>
      </c>
      <c r="S90" s="133">
        <f>P64</f>
        <v>5</v>
      </c>
      <c r="T90" s="135">
        <f t="shared" ref="T90:T93" si="125">S90*L90</f>
        <v>325</v>
      </c>
      <c r="U90" s="229"/>
      <c r="V90" s="240"/>
      <c r="W90" s="241"/>
      <c r="X90" s="229"/>
      <c r="Y90" s="242"/>
      <c r="Z90" s="242"/>
      <c r="AA90" s="242"/>
      <c r="AB90" s="242"/>
      <c r="AC90" s="242"/>
      <c r="AD90" s="242"/>
      <c r="AE90" s="235"/>
      <c r="AF90" s="240"/>
      <c r="AG90" s="241"/>
      <c r="AH90" s="229"/>
      <c r="AI90" s="242"/>
      <c r="AJ90" s="242"/>
      <c r="AK90" s="242"/>
      <c r="AL90" s="242"/>
      <c r="AM90" s="242"/>
      <c r="AN90" s="242"/>
    </row>
    <row r="91" spans="1:41" s="53" customFormat="1" ht="15" customHeight="1" x14ac:dyDescent="0.25">
      <c r="A91" s="129">
        <f t="shared" ref="A91:A93" si="126">A90+1</f>
        <v>3</v>
      </c>
      <c r="B91" s="130">
        <f t="shared" ref="B91:B93" si="127">B90</f>
        <v>235</v>
      </c>
      <c r="C91" s="131" t="str">
        <f>E65</f>
        <v>1/200</v>
      </c>
      <c r="D91" s="132" t="str">
        <f>D65</f>
        <v>Чай с сахаром</v>
      </c>
      <c r="E91" s="133">
        <f t="shared" si="118"/>
        <v>2.544</v>
      </c>
      <c r="F91" s="133">
        <f t="shared" si="119"/>
        <v>597.84</v>
      </c>
      <c r="G91" s="134">
        <v>6.36</v>
      </c>
      <c r="H91" s="133">
        <f t="shared" si="120"/>
        <v>1494.6000000000001</v>
      </c>
      <c r="I91" s="133">
        <f>F65</f>
        <v>8</v>
      </c>
      <c r="J91" s="135">
        <f t="shared" si="121"/>
        <v>1880</v>
      </c>
      <c r="K91" s="136">
        <f t="shared" ref="K91:K93" si="128">K90+1</f>
        <v>3</v>
      </c>
      <c r="L91" s="130">
        <f t="shared" ref="L91:L93" si="129">L90</f>
        <v>65</v>
      </c>
      <c r="M91" s="131" t="str">
        <f>O65</f>
        <v>1/200</v>
      </c>
      <c r="N91" s="132" t="str">
        <f>N65</f>
        <v>Чай с сахаром</v>
      </c>
      <c r="O91" s="133">
        <f t="shared" si="122"/>
        <v>3.3759999999999999</v>
      </c>
      <c r="P91" s="133">
        <f t="shared" si="123"/>
        <v>219.44</v>
      </c>
      <c r="Q91" s="134">
        <v>8.44</v>
      </c>
      <c r="R91" s="133">
        <f t="shared" si="124"/>
        <v>548.6</v>
      </c>
      <c r="S91" s="133">
        <f>P65</f>
        <v>8</v>
      </c>
      <c r="T91" s="135">
        <f t="shared" si="125"/>
        <v>520</v>
      </c>
      <c r="U91" s="229"/>
      <c r="V91" s="241"/>
      <c r="W91" s="243"/>
      <c r="X91" s="244"/>
      <c r="Y91" s="233"/>
      <c r="Z91" s="233"/>
      <c r="AA91" s="233"/>
      <c r="AB91" s="233"/>
      <c r="AC91" s="233"/>
      <c r="AD91" s="233"/>
      <c r="AE91" s="235"/>
      <c r="AF91" s="241"/>
      <c r="AG91" s="243"/>
      <c r="AH91" s="244"/>
      <c r="AI91" s="233"/>
      <c r="AJ91" s="233"/>
      <c r="AK91" s="233"/>
      <c r="AL91" s="233"/>
      <c r="AM91" s="233"/>
      <c r="AN91" s="233"/>
    </row>
    <row r="92" spans="1:41" s="53" customFormat="1" ht="16.5" customHeight="1" x14ac:dyDescent="0.25">
      <c r="A92" s="129">
        <f t="shared" si="126"/>
        <v>4</v>
      </c>
      <c r="B92" s="130">
        <f t="shared" si="127"/>
        <v>235</v>
      </c>
      <c r="C92" s="131" t="str">
        <f>E66</f>
        <v>1/30</v>
      </c>
      <c r="D92" s="132" t="str">
        <f>D66</f>
        <v>Батон</v>
      </c>
      <c r="E92" s="133">
        <f t="shared" si="118"/>
        <v>3.3759999999999999</v>
      </c>
      <c r="F92" s="133">
        <f t="shared" si="119"/>
        <v>793.36</v>
      </c>
      <c r="G92" s="134">
        <v>8.44</v>
      </c>
      <c r="H92" s="133">
        <f t="shared" si="120"/>
        <v>1983.3999999999999</v>
      </c>
      <c r="I92" s="133">
        <f>F66</f>
        <v>9.1999999999999993</v>
      </c>
      <c r="J92" s="135">
        <f t="shared" si="121"/>
        <v>2162</v>
      </c>
      <c r="K92" s="136">
        <f t="shared" si="128"/>
        <v>4</v>
      </c>
      <c r="L92" s="130">
        <f t="shared" si="129"/>
        <v>65</v>
      </c>
      <c r="M92" s="131" t="str">
        <f>O66</f>
        <v>1/30</v>
      </c>
      <c r="N92" s="132" t="str">
        <f>N66</f>
        <v>Батон</v>
      </c>
      <c r="O92" s="133">
        <f t="shared" si="122"/>
        <v>4.18</v>
      </c>
      <c r="P92" s="133">
        <f t="shared" si="123"/>
        <v>271.7</v>
      </c>
      <c r="Q92" s="134">
        <f>209*2.5/1000*20</f>
        <v>10.45</v>
      </c>
      <c r="R92" s="133">
        <f t="shared" si="124"/>
        <v>679.25</v>
      </c>
      <c r="S92" s="133">
        <f>P66</f>
        <v>9.1999999999999993</v>
      </c>
      <c r="T92" s="135">
        <f t="shared" si="125"/>
        <v>598</v>
      </c>
      <c r="U92" s="229"/>
      <c r="V92" s="241"/>
      <c r="W92" s="243"/>
      <c r="X92" s="244"/>
      <c r="Y92" s="233"/>
      <c r="Z92" s="233"/>
      <c r="AA92" s="233"/>
      <c r="AB92" s="233"/>
      <c r="AC92" s="233"/>
      <c r="AD92" s="233"/>
      <c r="AE92" s="235"/>
      <c r="AF92" s="241"/>
      <c r="AG92" s="243"/>
      <c r="AH92" s="244"/>
      <c r="AI92" s="233"/>
      <c r="AJ92" s="233"/>
      <c r="AK92" s="233"/>
      <c r="AL92" s="233"/>
      <c r="AM92" s="233"/>
      <c r="AN92" s="233"/>
    </row>
    <row r="93" spans="1:41" s="53" customFormat="1" ht="16.5" customHeight="1" x14ac:dyDescent="0.25">
      <c r="A93" s="129">
        <f t="shared" si="126"/>
        <v>5</v>
      </c>
      <c r="B93" s="130">
        <f t="shared" si="127"/>
        <v>235</v>
      </c>
      <c r="C93" s="131" t="str">
        <f>E67</f>
        <v>1/20</v>
      </c>
      <c r="D93" s="132" t="str">
        <f>D67</f>
        <v>Мармелад</v>
      </c>
      <c r="E93" s="133">
        <f t="shared" si="118"/>
        <v>4.18</v>
      </c>
      <c r="F93" s="133">
        <f t="shared" si="119"/>
        <v>982.3</v>
      </c>
      <c r="G93" s="134">
        <v>10.45</v>
      </c>
      <c r="H93" s="133">
        <f t="shared" si="120"/>
        <v>2455.75</v>
      </c>
      <c r="I93" s="133">
        <f>F67</f>
        <v>20</v>
      </c>
      <c r="J93" s="135">
        <f t="shared" si="121"/>
        <v>4700</v>
      </c>
      <c r="K93" s="136">
        <f t="shared" si="128"/>
        <v>5</v>
      </c>
      <c r="L93" s="130">
        <f t="shared" si="129"/>
        <v>65</v>
      </c>
      <c r="M93" s="131" t="str">
        <f>O67</f>
        <v>1/50</v>
      </c>
      <c r="N93" s="132" t="str">
        <f>N67</f>
        <v>Мармелад</v>
      </c>
      <c r="O93" s="133">
        <f t="shared" si="122"/>
        <v>4.18</v>
      </c>
      <c r="P93" s="133">
        <f t="shared" si="123"/>
        <v>271.7</v>
      </c>
      <c r="Q93" s="134">
        <f>209*2.5/1000*20</f>
        <v>10.45</v>
      </c>
      <c r="R93" s="133">
        <f t="shared" si="124"/>
        <v>679.25</v>
      </c>
      <c r="S93" s="133">
        <f>P67</f>
        <v>43.4</v>
      </c>
      <c r="T93" s="135">
        <f t="shared" si="125"/>
        <v>2821</v>
      </c>
      <c r="U93" s="229"/>
      <c r="V93" s="241"/>
      <c r="W93" s="243"/>
      <c r="X93" s="244"/>
      <c r="Y93" s="233"/>
      <c r="Z93" s="233"/>
      <c r="AA93" s="233"/>
      <c r="AB93" s="233"/>
      <c r="AC93" s="233"/>
      <c r="AD93" s="233"/>
      <c r="AE93" s="235"/>
      <c r="AF93" s="241"/>
      <c r="AG93" s="243"/>
      <c r="AH93" s="244"/>
      <c r="AI93" s="233"/>
      <c r="AJ93" s="233"/>
      <c r="AK93" s="233"/>
      <c r="AL93" s="233"/>
      <c r="AM93" s="233"/>
      <c r="AN93" s="233"/>
    </row>
    <row r="94" spans="1:41" s="247" customFormat="1" ht="15" customHeight="1" x14ac:dyDescent="0.25">
      <c r="A94" s="129"/>
      <c r="B94" s="139"/>
      <c r="C94" s="140"/>
      <c r="D94" s="141"/>
      <c r="E94" s="133"/>
      <c r="F94" s="133"/>
      <c r="G94" s="133"/>
      <c r="H94" s="133"/>
      <c r="I94" s="133"/>
      <c r="J94" s="135"/>
      <c r="K94" s="136"/>
      <c r="L94" s="139"/>
      <c r="M94" s="140"/>
      <c r="N94" s="141"/>
      <c r="O94" s="133"/>
      <c r="P94" s="133"/>
      <c r="Q94" s="133"/>
      <c r="R94" s="133"/>
      <c r="S94" s="133"/>
      <c r="T94" s="135"/>
      <c r="U94" s="229"/>
      <c r="V94" s="230"/>
      <c r="W94" s="245"/>
      <c r="X94" s="246"/>
      <c r="Y94" s="233"/>
      <c r="Z94" s="233"/>
      <c r="AA94" s="234"/>
      <c r="AB94" s="233"/>
      <c r="AC94" s="233"/>
      <c r="AD94" s="233"/>
      <c r="AE94" s="235"/>
      <c r="AF94" s="230"/>
      <c r="AG94" s="245"/>
      <c r="AH94" s="246"/>
      <c r="AI94" s="233"/>
      <c r="AJ94" s="233"/>
      <c r="AK94" s="234"/>
      <c r="AL94" s="233"/>
      <c r="AM94" s="233"/>
      <c r="AN94" s="233"/>
      <c r="AO94" s="53"/>
    </row>
    <row r="95" spans="1:41" s="53" customFormat="1" ht="15" customHeight="1" x14ac:dyDescent="0.25">
      <c r="A95" s="129"/>
      <c r="B95" s="142" t="s">
        <v>79</v>
      </c>
      <c r="C95" s="143"/>
      <c r="D95" s="140"/>
      <c r="E95" s="144">
        <f>SUM(E89:E94)</f>
        <v>35.830666666666666</v>
      </c>
      <c r="F95" s="144">
        <f>SUM(F89:F94)</f>
        <v>8420.2066666666651</v>
      </c>
      <c r="G95" s="144">
        <f>SUM(G89:G94)</f>
        <v>89.576666666666668</v>
      </c>
      <c r="H95" s="144">
        <f>SUM(H89:H94)</f>
        <v>21050.516666666666</v>
      </c>
      <c r="I95" s="144">
        <f>F68</f>
        <v>115.2</v>
      </c>
      <c r="J95" s="145">
        <f>I95*B89</f>
        <v>27072</v>
      </c>
      <c r="K95" s="136"/>
      <c r="L95" s="142" t="s">
        <v>79</v>
      </c>
      <c r="M95" s="143"/>
      <c r="N95" s="140"/>
      <c r="O95" s="144">
        <f>SUM(O89:O94)</f>
        <v>30.6</v>
      </c>
      <c r="P95" s="144">
        <f>SUM(P89:P94)</f>
        <v>1989</v>
      </c>
      <c r="Q95" s="144">
        <f>SUM(Q89:Q94)</f>
        <v>76.5</v>
      </c>
      <c r="R95" s="144">
        <f>SUM(R89:R94)</f>
        <v>4972.5</v>
      </c>
      <c r="S95" s="144">
        <f>P68</f>
        <v>138.6</v>
      </c>
      <c r="T95" s="145">
        <f>S95*L89</f>
        <v>9009</v>
      </c>
      <c r="U95" s="229"/>
      <c r="V95" s="230"/>
      <c r="W95" s="245"/>
      <c r="X95" s="246"/>
      <c r="Y95" s="233"/>
      <c r="Z95" s="233"/>
      <c r="AA95" s="234"/>
      <c r="AB95" s="233"/>
      <c r="AC95" s="233"/>
      <c r="AD95" s="233"/>
      <c r="AE95" s="235"/>
      <c r="AF95" s="230"/>
      <c r="AG95" s="245"/>
      <c r="AH95" s="246"/>
      <c r="AI95" s="233"/>
      <c r="AJ95" s="233"/>
      <c r="AK95" s="234"/>
      <c r="AL95" s="233"/>
      <c r="AM95" s="233"/>
      <c r="AN95" s="233"/>
    </row>
    <row r="96" spans="1:41" s="53" customFormat="1" ht="15" customHeight="1" x14ac:dyDescent="0.25">
      <c r="A96" s="129"/>
      <c r="B96" s="143" t="str">
        <f>A69</f>
        <v>Обед</v>
      </c>
      <c r="C96" s="146" t="s">
        <v>80</v>
      </c>
      <c r="D96" s="147"/>
      <c r="E96" s="133"/>
      <c r="F96" s="133"/>
      <c r="G96" s="133"/>
      <c r="H96" s="133"/>
      <c r="I96" s="133"/>
      <c r="J96" s="135"/>
      <c r="K96" s="136"/>
      <c r="L96" s="143" t="str">
        <f>K69</f>
        <v>Обед</v>
      </c>
      <c r="M96" s="146" t="s">
        <v>80</v>
      </c>
      <c r="N96" s="147"/>
      <c r="O96" s="133"/>
      <c r="P96" s="133"/>
      <c r="Q96" s="133"/>
      <c r="R96" s="133"/>
      <c r="S96" s="133"/>
      <c r="T96" s="135"/>
      <c r="U96" s="248"/>
      <c r="V96" s="248"/>
      <c r="W96" s="249"/>
      <c r="X96" s="250"/>
      <c r="Y96" s="251"/>
      <c r="Z96" s="251"/>
      <c r="AA96" s="252"/>
      <c r="AB96" s="251"/>
      <c r="AC96" s="251"/>
      <c r="AD96" s="251"/>
      <c r="AE96" s="248"/>
      <c r="AF96" s="248"/>
      <c r="AG96" s="249"/>
      <c r="AH96" s="250"/>
      <c r="AI96" s="251"/>
      <c r="AJ96" s="251"/>
      <c r="AK96" s="252"/>
      <c r="AL96" s="251"/>
      <c r="AM96" s="251"/>
      <c r="AN96" s="251"/>
      <c r="AO96" s="253"/>
    </row>
    <row r="97" spans="1:41" s="253" customFormat="1" ht="15" customHeight="1" x14ac:dyDescent="0.25">
      <c r="A97" s="136">
        <v>1</v>
      </c>
      <c r="B97" s="148">
        <f>C69</f>
        <v>93</v>
      </c>
      <c r="C97" s="149" t="str">
        <f t="shared" ref="C97:C103" si="130">E69</f>
        <v>1/20</v>
      </c>
      <c r="D97" s="150" t="str">
        <f t="shared" ref="D97:D103" si="131">D69</f>
        <v>Помидоры свежие</v>
      </c>
      <c r="E97" s="133">
        <f t="shared" ref="E97:E103" si="132">G97/2.5</f>
        <v>3.78</v>
      </c>
      <c r="F97" s="133">
        <f t="shared" ref="F97:F103" si="133">E97*B97</f>
        <v>351.53999999999996</v>
      </c>
      <c r="G97" s="134">
        <v>9.4499999999999993</v>
      </c>
      <c r="H97" s="133">
        <f t="shared" ref="H97:H103" si="134">G97*B97</f>
        <v>878.84999999999991</v>
      </c>
      <c r="I97" s="133">
        <f t="shared" ref="I97:I103" si="135">F69</f>
        <v>10</v>
      </c>
      <c r="J97" s="135">
        <f t="shared" ref="J97:J103" si="136">I97*B97</f>
        <v>930</v>
      </c>
      <c r="K97" s="136">
        <v>1</v>
      </c>
      <c r="L97" s="148">
        <f>M69</f>
        <v>65</v>
      </c>
      <c r="M97" s="149" t="str">
        <f t="shared" ref="M97:M103" si="137">O69</f>
        <v>1/20</v>
      </c>
      <c r="N97" s="150" t="str">
        <f t="shared" ref="N97:N103" si="138">N69</f>
        <v>Помидоры свежие</v>
      </c>
      <c r="O97" s="133">
        <f t="shared" ref="O97:O103" si="139">Q97/2.5</f>
        <v>3.78</v>
      </c>
      <c r="P97" s="133">
        <f t="shared" ref="P97:P103" si="140">O97*L97</f>
        <v>245.7</v>
      </c>
      <c r="Q97" s="134">
        <v>9.4499999999999993</v>
      </c>
      <c r="R97" s="133">
        <f t="shared" ref="R97:R103" si="141">Q97*L97</f>
        <v>614.25</v>
      </c>
      <c r="S97" s="133">
        <f t="shared" ref="S97:S103" si="142">P69</f>
        <v>10</v>
      </c>
      <c r="T97" s="135">
        <f t="shared" ref="T97:T103" si="143">S97*L97</f>
        <v>650</v>
      </c>
      <c r="U97" s="229"/>
      <c r="V97" s="230"/>
      <c r="W97" s="245"/>
      <c r="X97" s="246"/>
      <c r="Y97" s="233"/>
      <c r="Z97" s="233"/>
      <c r="AA97" s="234"/>
      <c r="AB97" s="233"/>
      <c r="AC97" s="233"/>
      <c r="AD97" s="233"/>
      <c r="AE97" s="235"/>
      <c r="AF97" s="230"/>
      <c r="AG97" s="245"/>
      <c r="AH97" s="246"/>
      <c r="AI97" s="233"/>
      <c r="AJ97" s="233"/>
      <c r="AK97" s="234"/>
      <c r="AL97" s="233"/>
      <c r="AM97" s="233"/>
      <c r="AN97" s="233"/>
      <c r="AO97" s="53"/>
    </row>
    <row r="98" spans="1:41" s="53" customFormat="1" ht="15" customHeight="1" x14ac:dyDescent="0.25">
      <c r="A98" s="136">
        <f t="shared" ref="A98:A103" si="144">A97+1</f>
        <v>2</v>
      </c>
      <c r="B98" s="148">
        <f t="shared" ref="B98:B103" si="145">B97</f>
        <v>93</v>
      </c>
      <c r="C98" s="149" t="str">
        <f t="shared" si="130"/>
        <v>250/15</v>
      </c>
      <c r="D98" s="254" t="str">
        <f t="shared" si="131"/>
        <v>Суп картофельный с мясными фрикадельками</v>
      </c>
      <c r="E98" s="255">
        <f t="shared" si="132"/>
        <v>33.896000000000001</v>
      </c>
      <c r="F98" s="255">
        <f t="shared" si="133"/>
        <v>3152.328</v>
      </c>
      <c r="G98" s="256">
        <v>84.74</v>
      </c>
      <c r="H98" s="255">
        <f t="shared" si="134"/>
        <v>7880.82</v>
      </c>
      <c r="I98" s="255">
        <f t="shared" si="135"/>
        <v>80</v>
      </c>
      <c r="J98" s="257">
        <f t="shared" si="136"/>
        <v>7440</v>
      </c>
      <c r="K98" s="136">
        <f t="shared" ref="K98:K103" si="146">K97+1</f>
        <v>2</v>
      </c>
      <c r="L98" s="148">
        <f t="shared" ref="L98:L103" si="147">L97</f>
        <v>65</v>
      </c>
      <c r="M98" s="149" t="str">
        <f t="shared" si="137"/>
        <v>250/20</v>
      </c>
      <c r="N98" s="254" t="str">
        <f t="shared" si="138"/>
        <v>Суп картофельный с мясными фрикадельками</v>
      </c>
      <c r="O98" s="255">
        <f t="shared" si="139"/>
        <v>34.124000000000002</v>
      </c>
      <c r="P98" s="255">
        <f t="shared" si="140"/>
        <v>2218.06</v>
      </c>
      <c r="Q98" s="256">
        <v>85.31</v>
      </c>
      <c r="R98" s="255">
        <f t="shared" si="141"/>
        <v>5545.1500000000005</v>
      </c>
      <c r="S98" s="255">
        <f t="shared" si="142"/>
        <v>85</v>
      </c>
      <c r="T98" s="257">
        <f t="shared" si="143"/>
        <v>5525</v>
      </c>
      <c r="U98" s="229"/>
      <c r="V98" s="230"/>
      <c r="W98" s="245"/>
      <c r="X98" s="246"/>
      <c r="Y98" s="233"/>
      <c r="Z98" s="233"/>
      <c r="AA98" s="234"/>
      <c r="AB98" s="233"/>
      <c r="AC98" s="233"/>
      <c r="AD98" s="233"/>
      <c r="AE98" s="235"/>
      <c r="AF98" s="230"/>
      <c r="AG98" s="245"/>
      <c r="AH98" s="246"/>
      <c r="AI98" s="233"/>
      <c r="AJ98" s="233"/>
      <c r="AK98" s="234"/>
      <c r="AL98" s="233"/>
      <c r="AM98" s="233"/>
      <c r="AN98" s="233"/>
    </row>
    <row r="99" spans="1:41" s="53" customFormat="1" ht="15" customHeight="1" x14ac:dyDescent="0.25">
      <c r="A99" s="129">
        <f t="shared" si="144"/>
        <v>3</v>
      </c>
      <c r="B99" s="130">
        <f t="shared" si="145"/>
        <v>93</v>
      </c>
      <c r="C99" s="149" t="str">
        <f t="shared" si="130"/>
        <v>1/75</v>
      </c>
      <c r="D99" s="150" t="str">
        <f t="shared" si="131"/>
        <v>Тефтели из говядины</v>
      </c>
      <c r="E99" s="133">
        <f t="shared" si="132"/>
        <v>31.78</v>
      </c>
      <c r="F99" s="133">
        <f t="shared" si="133"/>
        <v>2955.54</v>
      </c>
      <c r="G99" s="138">
        <v>79.45</v>
      </c>
      <c r="H99" s="133">
        <f t="shared" si="134"/>
        <v>7388.85</v>
      </c>
      <c r="I99" s="133">
        <f t="shared" si="135"/>
        <v>73.599999999999994</v>
      </c>
      <c r="J99" s="135">
        <f t="shared" si="136"/>
        <v>6844.7999999999993</v>
      </c>
      <c r="K99" s="136">
        <f t="shared" si="146"/>
        <v>3</v>
      </c>
      <c r="L99" s="130">
        <f t="shared" si="147"/>
        <v>65</v>
      </c>
      <c r="M99" s="149" t="str">
        <f t="shared" si="137"/>
        <v>1/75</v>
      </c>
      <c r="N99" s="150" t="str">
        <f t="shared" si="138"/>
        <v>Тефтели из говядины</v>
      </c>
      <c r="O99" s="133">
        <f t="shared" si="139"/>
        <v>31.78</v>
      </c>
      <c r="P99" s="133">
        <f t="shared" si="140"/>
        <v>2065.7000000000003</v>
      </c>
      <c r="Q99" s="138">
        <v>79.45</v>
      </c>
      <c r="R99" s="133">
        <f t="shared" si="141"/>
        <v>5164.25</v>
      </c>
      <c r="S99" s="133">
        <f t="shared" si="142"/>
        <v>73.599999999999994</v>
      </c>
      <c r="T99" s="135">
        <f t="shared" si="143"/>
        <v>4784</v>
      </c>
      <c r="U99" s="229"/>
      <c r="V99" s="258"/>
      <c r="W99" s="229"/>
      <c r="X99" s="233"/>
      <c r="Y99" s="233"/>
      <c r="Z99" s="233"/>
      <c r="AA99" s="233"/>
      <c r="AB99" s="233"/>
      <c r="AC99" s="233"/>
      <c r="AD99" s="233"/>
      <c r="AE99" s="235"/>
      <c r="AF99" s="258"/>
      <c r="AG99" s="229"/>
      <c r="AH99" s="233"/>
      <c r="AI99" s="233"/>
      <c r="AJ99" s="233"/>
      <c r="AK99" s="233"/>
      <c r="AL99" s="233"/>
      <c r="AM99" s="233"/>
      <c r="AN99" s="233"/>
    </row>
    <row r="100" spans="1:41" s="53" customFormat="1" ht="15" customHeight="1" x14ac:dyDescent="0.25">
      <c r="A100" s="129">
        <f t="shared" si="144"/>
        <v>4</v>
      </c>
      <c r="B100" s="130">
        <f t="shared" si="145"/>
        <v>93</v>
      </c>
      <c r="C100" s="149" t="str">
        <f t="shared" si="130"/>
        <v>1/150</v>
      </c>
      <c r="D100" s="150" t="str">
        <f t="shared" si="131"/>
        <v>Макароны отварные</v>
      </c>
      <c r="E100" s="133">
        <f t="shared" si="132"/>
        <v>3.8439999999999999</v>
      </c>
      <c r="F100" s="133">
        <f t="shared" si="133"/>
        <v>357.49199999999996</v>
      </c>
      <c r="G100" s="134">
        <f>9.61</f>
        <v>9.61</v>
      </c>
      <c r="H100" s="133">
        <f t="shared" si="134"/>
        <v>893.7299999999999</v>
      </c>
      <c r="I100" s="133">
        <f t="shared" si="135"/>
        <v>15</v>
      </c>
      <c r="J100" s="135">
        <f t="shared" si="136"/>
        <v>1395</v>
      </c>
      <c r="K100" s="136">
        <f t="shared" si="146"/>
        <v>4</v>
      </c>
      <c r="L100" s="130">
        <f t="shared" si="147"/>
        <v>65</v>
      </c>
      <c r="M100" s="149" t="str">
        <f t="shared" si="137"/>
        <v>180/5</v>
      </c>
      <c r="N100" s="150" t="str">
        <f t="shared" si="138"/>
        <v>Макароны отварные с м/сл</v>
      </c>
      <c r="O100" s="133">
        <f t="shared" si="139"/>
        <v>6.5387999999999993</v>
      </c>
      <c r="P100" s="133">
        <f t="shared" si="140"/>
        <v>425.02199999999993</v>
      </c>
      <c r="Q100" s="134">
        <f>9.61/15*18+9.63/2</f>
        <v>16.346999999999998</v>
      </c>
      <c r="R100" s="133">
        <f t="shared" si="141"/>
        <v>1062.5549999999998</v>
      </c>
      <c r="S100" s="133">
        <f t="shared" si="142"/>
        <v>22.6</v>
      </c>
      <c r="T100" s="135">
        <f t="shared" si="143"/>
        <v>1469</v>
      </c>
      <c r="U100" s="229"/>
      <c r="V100" s="240"/>
      <c r="W100" s="241"/>
      <c r="X100" s="229"/>
      <c r="Y100" s="242"/>
      <c r="Z100" s="242"/>
      <c r="AA100" s="242"/>
      <c r="AB100" s="242"/>
      <c r="AC100" s="242"/>
      <c r="AD100" s="242"/>
      <c r="AE100" s="235"/>
      <c r="AF100" s="240"/>
      <c r="AG100" s="241"/>
      <c r="AH100" s="229"/>
      <c r="AI100" s="242"/>
      <c r="AJ100" s="242"/>
      <c r="AK100" s="242"/>
      <c r="AL100" s="242"/>
      <c r="AM100" s="242"/>
      <c r="AN100" s="242"/>
    </row>
    <row r="101" spans="1:41" s="53" customFormat="1" ht="15" customHeight="1" x14ac:dyDescent="0.25">
      <c r="A101" s="152">
        <f t="shared" si="144"/>
        <v>5</v>
      </c>
      <c r="B101" s="148">
        <f t="shared" si="145"/>
        <v>93</v>
      </c>
      <c r="C101" s="259" t="str">
        <f t="shared" si="130"/>
        <v>1/200</v>
      </c>
      <c r="D101" s="254" t="str">
        <f t="shared" si="131"/>
        <v>Кисель фруктовый</v>
      </c>
      <c r="E101" s="155">
        <f t="shared" si="132"/>
        <v>5.9960000000000004</v>
      </c>
      <c r="F101" s="155">
        <f t="shared" si="133"/>
        <v>557.62800000000004</v>
      </c>
      <c r="G101" s="134">
        <v>14.99</v>
      </c>
      <c r="H101" s="155">
        <f t="shared" si="134"/>
        <v>1394.07</v>
      </c>
      <c r="I101" s="155">
        <f t="shared" si="135"/>
        <v>20</v>
      </c>
      <c r="J101" s="156">
        <f t="shared" si="136"/>
        <v>1860</v>
      </c>
      <c r="K101" s="152">
        <f t="shared" si="146"/>
        <v>5</v>
      </c>
      <c r="L101" s="148">
        <f t="shared" si="147"/>
        <v>65</v>
      </c>
      <c r="M101" s="259" t="str">
        <f t="shared" si="137"/>
        <v>1/200</v>
      </c>
      <c r="N101" s="254" t="str">
        <f t="shared" si="138"/>
        <v>Кисель фруктовый</v>
      </c>
      <c r="O101" s="155">
        <f t="shared" si="139"/>
        <v>5.9960000000000004</v>
      </c>
      <c r="P101" s="155">
        <f t="shared" si="140"/>
        <v>389.74</v>
      </c>
      <c r="Q101" s="134">
        <v>14.99</v>
      </c>
      <c r="R101" s="155">
        <f t="shared" si="141"/>
        <v>974.35</v>
      </c>
      <c r="S101" s="155">
        <f t="shared" si="142"/>
        <v>20</v>
      </c>
      <c r="T101" s="156">
        <f t="shared" si="143"/>
        <v>1300</v>
      </c>
      <c r="U101" s="229"/>
      <c r="V101" s="241"/>
      <c r="W101" s="229"/>
      <c r="X101" s="229"/>
      <c r="Y101" s="233"/>
      <c r="Z101" s="233"/>
      <c r="AA101" s="233"/>
      <c r="AB101" s="233"/>
      <c r="AC101" s="233"/>
      <c r="AD101" s="242"/>
      <c r="AE101" s="235"/>
      <c r="AF101" s="241"/>
      <c r="AG101" s="229"/>
      <c r="AH101" s="229"/>
      <c r="AI101" s="233"/>
      <c r="AJ101" s="233"/>
      <c r="AK101" s="233"/>
      <c r="AL101" s="233"/>
      <c r="AM101" s="233"/>
      <c r="AN101" s="242"/>
    </row>
    <row r="102" spans="1:41" s="53" customFormat="1" ht="15" customHeight="1" x14ac:dyDescent="0.25">
      <c r="A102" s="129">
        <f t="shared" si="144"/>
        <v>6</v>
      </c>
      <c r="B102" s="130">
        <f t="shared" si="145"/>
        <v>93</v>
      </c>
      <c r="C102" s="149" t="str">
        <f t="shared" si="130"/>
        <v>0,030</v>
      </c>
      <c r="D102" s="150" t="str">
        <f t="shared" si="131"/>
        <v>Хлеб пшеничный</v>
      </c>
      <c r="E102" s="133">
        <f t="shared" si="132"/>
        <v>2.4</v>
      </c>
      <c r="F102" s="133">
        <f t="shared" si="133"/>
        <v>223.2</v>
      </c>
      <c r="G102" s="134">
        <v>6</v>
      </c>
      <c r="H102" s="133">
        <f t="shared" si="134"/>
        <v>558</v>
      </c>
      <c r="I102" s="133">
        <f t="shared" si="135"/>
        <v>6</v>
      </c>
      <c r="J102" s="135">
        <f t="shared" si="136"/>
        <v>558</v>
      </c>
      <c r="K102" s="136">
        <f t="shared" si="146"/>
        <v>6</v>
      </c>
      <c r="L102" s="130">
        <f t="shared" si="147"/>
        <v>65</v>
      </c>
      <c r="M102" s="149" t="str">
        <f t="shared" si="137"/>
        <v>0,030</v>
      </c>
      <c r="N102" s="150" t="str">
        <f t="shared" si="138"/>
        <v>Хлеб пшеничный</v>
      </c>
      <c r="O102" s="133">
        <f t="shared" si="139"/>
        <v>2.4</v>
      </c>
      <c r="P102" s="133">
        <f t="shared" si="140"/>
        <v>156</v>
      </c>
      <c r="Q102" s="134">
        <v>6</v>
      </c>
      <c r="R102" s="133">
        <f t="shared" si="141"/>
        <v>390</v>
      </c>
      <c r="S102" s="133">
        <f t="shared" si="142"/>
        <v>6</v>
      </c>
      <c r="T102" s="135">
        <f t="shared" si="143"/>
        <v>390</v>
      </c>
      <c r="U102" s="229"/>
      <c r="V102" s="230"/>
      <c r="W102" s="231"/>
      <c r="X102" s="232"/>
      <c r="Y102" s="233"/>
      <c r="Z102" s="233"/>
      <c r="AA102" s="234"/>
      <c r="AB102" s="233"/>
      <c r="AC102" s="233"/>
      <c r="AD102" s="233"/>
      <c r="AE102" s="235"/>
      <c r="AF102" s="230"/>
      <c r="AG102" s="231"/>
      <c r="AH102" s="232"/>
      <c r="AI102" s="233"/>
      <c r="AJ102" s="233"/>
      <c r="AK102" s="234"/>
      <c r="AL102" s="233"/>
      <c r="AM102" s="233"/>
      <c r="AN102" s="233"/>
    </row>
    <row r="103" spans="1:41" s="53" customFormat="1" ht="15" customHeight="1" x14ac:dyDescent="0.25">
      <c r="A103" s="129">
        <f t="shared" si="144"/>
        <v>7</v>
      </c>
      <c r="B103" s="130">
        <f t="shared" si="145"/>
        <v>93</v>
      </c>
      <c r="C103" s="149" t="str">
        <f t="shared" si="130"/>
        <v>0,030</v>
      </c>
      <c r="D103" s="150" t="str">
        <f t="shared" si="131"/>
        <v>Хлеб ржано-пшеничный</v>
      </c>
      <c r="E103" s="133">
        <f t="shared" si="132"/>
        <v>2.4</v>
      </c>
      <c r="F103" s="133">
        <f t="shared" si="133"/>
        <v>223.2</v>
      </c>
      <c r="G103" s="134">
        <v>6</v>
      </c>
      <c r="H103" s="133">
        <f t="shared" si="134"/>
        <v>558</v>
      </c>
      <c r="I103" s="133">
        <f t="shared" si="135"/>
        <v>6</v>
      </c>
      <c r="J103" s="135">
        <f t="shared" si="136"/>
        <v>558</v>
      </c>
      <c r="K103" s="136">
        <f t="shared" si="146"/>
        <v>7</v>
      </c>
      <c r="L103" s="130">
        <f t="shared" si="147"/>
        <v>65</v>
      </c>
      <c r="M103" s="149" t="str">
        <f t="shared" si="137"/>
        <v>0,030</v>
      </c>
      <c r="N103" s="150" t="str">
        <f t="shared" si="138"/>
        <v>Хлеб ржано-пшеничный</v>
      </c>
      <c r="O103" s="133">
        <f t="shared" si="139"/>
        <v>2.4</v>
      </c>
      <c r="P103" s="133">
        <f t="shared" si="140"/>
        <v>156</v>
      </c>
      <c r="Q103" s="134">
        <v>6</v>
      </c>
      <c r="R103" s="133">
        <f t="shared" si="141"/>
        <v>390</v>
      </c>
      <c r="S103" s="133">
        <f t="shared" si="142"/>
        <v>6</v>
      </c>
      <c r="T103" s="135">
        <f t="shared" si="143"/>
        <v>390</v>
      </c>
      <c r="U103" s="229"/>
      <c r="V103" s="230"/>
      <c r="W103" s="231"/>
      <c r="X103" s="232"/>
      <c r="Y103" s="233"/>
      <c r="Z103" s="233"/>
      <c r="AA103" s="237"/>
      <c r="AB103" s="233"/>
      <c r="AC103" s="233"/>
      <c r="AD103" s="233"/>
      <c r="AE103" s="235"/>
      <c r="AF103" s="230"/>
      <c r="AG103" s="231"/>
      <c r="AH103" s="232"/>
      <c r="AI103" s="233"/>
      <c r="AJ103" s="233"/>
      <c r="AK103" s="237"/>
      <c r="AL103" s="233"/>
      <c r="AM103" s="233"/>
      <c r="AN103" s="233"/>
    </row>
    <row r="104" spans="1:41" s="253" customFormat="1" ht="13.5" customHeight="1" x14ac:dyDescent="0.25">
      <c r="A104" s="129"/>
      <c r="B104" s="139"/>
      <c r="C104" s="140"/>
      <c r="D104" s="133"/>
      <c r="E104" s="133"/>
      <c r="F104" s="133"/>
      <c r="G104" s="133"/>
      <c r="H104" s="133"/>
      <c r="I104" s="133"/>
      <c r="J104" s="135"/>
      <c r="K104" s="136"/>
      <c r="L104" s="139"/>
      <c r="M104" s="140"/>
      <c r="N104" s="133"/>
      <c r="O104" s="133"/>
      <c r="P104" s="133"/>
      <c r="Q104" s="133"/>
      <c r="R104" s="133"/>
      <c r="S104" s="133"/>
      <c r="T104" s="135"/>
      <c r="U104" s="248"/>
      <c r="V104" s="260"/>
      <c r="W104" s="261"/>
      <c r="X104" s="248"/>
      <c r="Y104" s="251"/>
      <c r="Z104" s="251"/>
      <c r="AA104" s="251"/>
      <c r="AB104" s="251"/>
      <c r="AC104" s="251"/>
      <c r="AD104" s="251"/>
      <c r="AE104" s="262"/>
      <c r="AF104" s="260"/>
      <c r="AG104" s="261"/>
      <c r="AH104" s="248"/>
      <c r="AI104" s="251"/>
      <c r="AJ104" s="251"/>
      <c r="AK104" s="251"/>
      <c r="AL104" s="251"/>
      <c r="AM104" s="251"/>
      <c r="AN104" s="251"/>
    </row>
    <row r="105" spans="1:41" s="53" customFormat="1" ht="13.5" customHeight="1" x14ac:dyDescent="0.25">
      <c r="A105" s="129"/>
      <c r="B105" s="142" t="s">
        <v>79</v>
      </c>
      <c r="C105" s="143"/>
      <c r="D105" s="140"/>
      <c r="E105" s="144">
        <f>SUM(E97:E103)</f>
        <v>84.096000000000004</v>
      </c>
      <c r="F105" s="144">
        <f>SUM(F97:F103)</f>
        <v>7820.927999999999</v>
      </c>
      <c r="G105" s="144">
        <f>SUM(G97:G103)</f>
        <v>210.24</v>
      </c>
      <c r="H105" s="144">
        <f t="shared" ref="H105" si="148">SUM(H97:H103)</f>
        <v>19552.32</v>
      </c>
      <c r="I105" s="144">
        <f>F76</f>
        <v>210.6</v>
      </c>
      <c r="J105" s="145">
        <f>I105*B99</f>
        <v>19585.8</v>
      </c>
      <c r="K105" s="136"/>
      <c r="L105" s="142" t="s">
        <v>79</v>
      </c>
      <c r="M105" s="143"/>
      <c r="N105" s="140"/>
      <c r="O105" s="144">
        <f>SUM(O97:O103)</f>
        <v>87.018799999999999</v>
      </c>
      <c r="P105" s="144">
        <f t="shared" ref="P105:R105" si="149">SUM(P97:P103)</f>
        <v>5656.2219999999998</v>
      </c>
      <c r="Q105" s="144">
        <f t="shared" si="149"/>
        <v>217.54700000000003</v>
      </c>
      <c r="R105" s="144">
        <f t="shared" si="149"/>
        <v>14140.555000000002</v>
      </c>
      <c r="S105" s="144">
        <f>P76</f>
        <v>223.2</v>
      </c>
      <c r="T105" s="145">
        <f>S105*L99</f>
        <v>14508</v>
      </c>
      <c r="U105" s="190"/>
      <c r="V105" s="240"/>
      <c r="W105" s="263"/>
      <c r="X105" s="263"/>
      <c r="Y105" s="242"/>
      <c r="Z105" s="242"/>
      <c r="AA105" s="242"/>
      <c r="AB105" s="242"/>
      <c r="AC105" s="242"/>
      <c r="AD105" s="242"/>
      <c r="AE105" s="190"/>
      <c r="AF105" s="240"/>
      <c r="AG105" s="263"/>
      <c r="AH105" s="263"/>
      <c r="AI105" s="242"/>
      <c r="AJ105" s="242"/>
      <c r="AK105" s="242"/>
      <c r="AL105" s="242"/>
      <c r="AM105" s="242"/>
      <c r="AN105" s="242"/>
    </row>
    <row r="106" spans="1:41" s="53" customFormat="1" ht="15" customHeight="1" x14ac:dyDescent="0.25">
      <c r="A106" s="129"/>
      <c r="B106" s="143" t="str">
        <f>A76</f>
        <v>Итого:</v>
      </c>
      <c r="C106" s="140"/>
      <c r="D106" s="140"/>
      <c r="E106" s="133"/>
      <c r="F106" s="133"/>
      <c r="G106" s="133"/>
      <c r="H106" s="133"/>
      <c r="I106" s="133"/>
      <c r="J106" s="145"/>
      <c r="K106" s="136"/>
      <c r="L106" s="143" t="str">
        <f>K76</f>
        <v>Итого:</v>
      </c>
      <c r="M106" s="140"/>
      <c r="N106" s="140"/>
      <c r="O106" s="133"/>
      <c r="P106" s="133"/>
      <c r="Q106" s="133"/>
      <c r="R106" s="133"/>
      <c r="S106" s="133"/>
      <c r="T106" s="145"/>
      <c r="U106" s="190"/>
      <c r="V106" s="264"/>
      <c r="W106" s="265"/>
      <c r="X106" s="266"/>
      <c r="Y106" s="242"/>
      <c r="Z106" s="242"/>
      <c r="AA106" s="242"/>
      <c r="AB106" s="242"/>
      <c r="AC106" s="242"/>
      <c r="AD106" s="242"/>
      <c r="AE106" s="190"/>
      <c r="AF106" s="264"/>
      <c r="AG106" s="265"/>
      <c r="AH106" s="266"/>
      <c r="AI106" s="242"/>
      <c r="AJ106" s="242"/>
      <c r="AK106" s="242"/>
      <c r="AL106" s="242"/>
      <c r="AM106" s="242"/>
      <c r="AN106" s="242"/>
    </row>
    <row r="107" spans="1:41" s="53" customFormat="1" ht="15" customHeight="1" x14ac:dyDescent="0.25">
      <c r="A107" s="129">
        <v>1</v>
      </c>
      <c r="B107" s="130">
        <f>C77</f>
        <v>93</v>
      </c>
      <c r="C107" s="131" t="str">
        <f>E77</f>
        <v>0,200</v>
      </c>
      <c r="D107" s="132" t="str">
        <f>D77</f>
        <v>Молоко пастеризованное</v>
      </c>
      <c r="E107" s="133">
        <f t="shared" ref="E107:E108" si="150">G107/2.5</f>
        <v>16.399999999999999</v>
      </c>
      <c r="F107" s="133">
        <f t="shared" ref="F107:F108" si="151">E107*B107</f>
        <v>1525.1999999999998</v>
      </c>
      <c r="G107" s="138">
        <v>41</v>
      </c>
      <c r="H107" s="133">
        <f t="shared" ref="H107:H108" si="152">G107*B107</f>
        <v>3813</v>
      </c>
      <c r="I107" s="133">
        <f>F77</f>
        <v>59.2</v>
      </c>
      <c r="J107" s="135">
        <f t="shared" ref="J107:J108" si="153">I107*B107</f>
        <v>5505.6</v>
      </c>
      <c r="K107" s="129">
        <v>1</v>
      </c>
      <c r="L107" s="130">
        <f>M77</f>
        <v>30</v>
      </c>
      <c r="M107" s="131" t="str">
        <f>O77</f>
        <v>0,200</v>
      </c>
      <c r="N107" s="132" t="str">
        <f>N77</f>
        <v>Молоко пастеризованное</v>
      </c>
      <c r="O107" s="133">
        <f t="shared" ref="O107:O109" si="154">Q107/2.5</f>
        <v>16.399999999999999</v>
      </c>
      <c r="P107" s="133">
        <f t="shared" ref="P107:P109" si="155">O107*L107</f>
        <v>491.99999999999994</v>
      </c>
      <c r="Q107" s="138">
        <v>41</v>
      </c>
      <c r="R107" s="133">
        <f t="shared" ref="R107:R109" si="156">Q107*L107</f>
        <v>1230</v>
      </c>
      <c r="S107" s="133">
        <f>P77</f>
        <v>59.2</v>
      </c>
      <c r="T107" s="135">
        <f t="shared" ref="T107:T109" si="157">S107*L107</f>
        <v>1776</v>
      </c>
      <c r="U107" s="190"/>
      <c r="V107" s="267"/>
      <c r="W107" s="268"/>
      <c r="X107" s="269"/>
      <c r="Y107" s="194"/>
      <c r="Z107" s="194"/>
      <c r="AA107" s="194"/>
      <c r="AB107" s="194"/>
      <c r="AC107" s="194"/>
      <c r="AD107" s="194"/>
      <c r="AE107" s="190"/>
      <c r="AF107" s="267"/>
      <c r="AG107" s="268"/>
      <c r="AH107" s="269"/>
      <c r="AI107" s="194"/>
      <c r="AJ107" s="194"/>
      <c r="AK107" s="194"/>
      <c r="AL107" s="194"/>
      <c r="AM107" s="194"/>
      <c r="AN107" s="194"/>
    </row>
    <row r="108" spans="1:41" s="53" customFormat="1" ht="15" customHeight="1" x14ac:dyDescent="0.25">
      <c r="A108" s="129">
        <f>A107+1</f>
        <v>2</v>
      </c>
      <c r="B108" s="130">
        <f>C78</f>
        <v>93</v>
      </c>
      <c r="C108" s="131" t="str">
        <f>E78</f>
        <v>1 шт</v>
      </c>
      <c r="D108" s="132" t="str">
        <f>D78</f>
        <v>Пирожок печеный с яблоками</v>
      </c>
      <c r="E108" s="133">
        <f t="shared" si="150"/>
        <v>11.295999999999999</v>
      </c>
      <c r="F108" s="133">
        <f t="shared" si="151"/>
        <v>1050.528</v>
      </c>
      <c r="G108" s="138">
        <f>42.36/75*50</f>
        <v>28.24</v>
      </c>
      <c r="H108" s="133">
        <f t="shared" si="152"/>
        <v>2626.3199999999997</v>
      </c>
      <c r="I108" s="133">
        <f>F78</f>
        <v>38</v>
      </c>
      <c r="J108" s="135">
        <f t="shared" si="153"/>
        <v>3534</v>
      </c>
      <c r="K108" s="129">
        <f>K107+1</f>
        <v>2</v>
      </c>
      <c r="L108" s="130">
        <f>M78</f>
        <v>30</v>
      </c>
      <c r="M108" s="131" t="str">
        <f>O78</f>
        <v>1 шт</v>
      </c>
      <c r="N108" s="132" t="str">
        <f>N78</f>
        <v>Пирожок печеный с яблоками</v>
      </c>
      <c r="O108" s="133">
        <f t="shared" si="154"/>
        <v>11.295999999999999</v>
      </c>
      <c r="P108" s="133">
        <f t="shared" si="155"/>
        <v>338.88</v>
      </c>
      <c r="Q108" s="138">
        <f>42.36/75*50</f>
        <v>28.24</v>
      </c>
      <c r="R108" s="133">
        <f t="shared" si="156"/>
        <v>847.19999999999993</v>
      </c>
      <c r="S108" s="133">
        <f>P78</f>
        <v>38</v>
      </c>
      <c r="T108" s="135">
        <f t="shared" si="157"/>
        <v>1140</v>
      </c>
      <c r="U108" s="184"/>
      <c r="V108" s="185"/>
      <c r="W108" s="186"/>
      <c r="X108" s="187"/>
      <c r="Y108" s="188"/>
      <c r="Z108" s="188"/>
      <c r="AA108" s="188"/>
      <c r="AB108" s="188"/>
      <c r="AC108" s="188"/>
      <c r="AD108" s="188"/>
      <c r="AE108" s="184"/>
      <c r="AF108" s="185"/>
      <c r="AG108" s="186"/>
      <c r="AH108" s="187"/>
      <c r="AI108" s="188"/>
      <c r="AJ108" s="188"/>
      <c r="AK108" s="188"/>
      <c r="AL108" s="188"/>
      <c r="AM108" s="188"/>
      <c r="AN108" s="188"/>
      <c r="AO108" s="189"/>
    </row>
    <row r="109" spans="1:41" s="53" customFormat="1" ht="15" customHeight="1" x14ac:dyDescent="0.25">
      <c r="A109" s="129"/>
      <c r="B109" s="130"/>
      <c r="C109" s="131"/>
      <c r="D109" s="132"/>
      <c r="E109" s="133"/>
      <c r="F109" s="133"/>
      <c r="G109" s="138"/>
      <c r="H109" s="133"/>
      <c r="I109" s="133"/>
      <c r="J109" s="135"/>
      <c r="K109" s="129">
        <f>K108+1</f>
        <v>3</v>
      </c>
      <c r="L109" s="130">
        <f>M79</f>
        <v>30</v>
      </c>
      <c r="M109" s="131" t="str">
        <f>O79</f>
        <v>1 шт</v>
      </c>
      <c r="N109" s="132" t="str">
        <f>N79</f>
        <v xml:space="preserve">Вафли </v>
      </c>
      <c r="O109" s="133">
        <f t="shared" si="154"/>
        <v>2.6719999999999997</v>
      </c>
      <c r="P109" s="133">
        <f t="shared" si="155"/>
        <v>80.16</v>
      </c>
      <c r="Q109" s="138">
        <v>6.68</v>
      </c>
      <c r="R109" s="133">
        <f t="shared" si="156"/>
        <v>200.39999999999998</v>
      </c>
      <c r="S109" s="133">
        <f>P79</f>
        <v>9</v>
      </c>
      <c r="T109" s="135">
        <f t="shared" si="157"/>
        <v>270</v>
      </c>
      <c r="U109" s="190"/>
      <c r="V109" s="270"/>
      <c r="W109" s="271"/>
      <c r="X109" s="271"/>
      <c r="Y109" s="272"/>
      <c r="Z109" s="194"/>
      <c r="AA109" s="194"/>
      <c r="AB109" s="194"/>
      <c r="AC109" s="194"/>
      <c r="AD109" s="194"/>
      <c r="AE109" s="190"/>
      <c r="AF109" s="270"/>
      <c r="AG109" s="271"/>
      <c r="AH109" s="271"/>
      <c r="AI109" s="272"/>
      <c r="AJ109" s="194"/>
      <c r="AK109" s="194"/>
      <c r="AL109" s="194"/>
      <c r="AM109" s="194"/>
      <c r="AN109" s="194"/>
    </row>
    <row r="110" spans="1:41" s="189" customFormat="1" ht="15" customHeight="1" x14ac:dyDescent="0.25">
      <c r="A110" s="158"/>
      <c r="B110" s="139"/>
      <c r="C110" s="141"/>
      <c r="D110" s="140"/>
      <c r="E110" s="133"/>
      <c r="F110" s="133"/>
      <c r="G110" s="133"/>
      <c r="H110" s="133"/>
      <c r="I110" s="133"/>
      <c r="J110" s="135"/>
      <c r="K110" s="158"/>
      <c r="L110" s="139"/>
      <c r="M110" s="141"/>
      <c r="N110" s="140"/>
      <c r="O110" s="133"/>
      <c r="P110" s="133"/>
      <c r="Q110" s="133"/>
      <c r="R110" s="133"/>
      <c r="S110" s="133"/>
      <c r="T110" s="135"/>
      <c r="U110" s="190"/>
      <c r="V110" s="270"/>
      <c r="W110" s="271"/>
      <c r="X110" s="271"/>
      <c r="Y110" s="272"/>
      <c r="Z110" s="194"/>
      <c r="AA110" s="194"/>
      <c r="AB110" s="194"/>
      <c r="AC110" s="194"/>
      <c r="AD110" s="194"/>
      <c r="AE110" s="190"/>
      <c r="AF110" s="270"/>
      <c r="AG110" s="271"/>
      <c r="AH110" s="271"/>
      <c r="AI110" s="272"/>
      <c r="AJ110" s="194"/>
      <c r="AK110" s="194"/>
      <c r="AL110" s="194"/>
      <c r="AM110" s="194"/>
      <c r="AN110" s="194"/>
      <c r="AO110" s="53"/>
    </row>
    <row r="111" spans="1:41" s="53" customFormat="1" ht="15" customHeight="1" thickBot="1" x14ac:dyDescent="0.3">
      <c r="A111" s="160"/>
      <c r="B111" s="161" t="s">
        <v>79</v>
      </c>
      <c r="C111" s="162"/>
      <c r="D111" s="162"/>
      <c r="E111" s="163">
        <f>SUM(E107:E110)</f>
        <v>27.695999999999998</v>
      </c>
      <c r="F111" s="163">
        <f>SUM(F107:F110)</f>
        <v>2575.7280000000001</v>
      </c>
      <c r="G111" s="163">
        <f>SUM(G107:G110)</f>
        <v>69.239999999999995</v>
      </c>
      <c r="H111" s="163">
        <f>SUM(H107:H110)</f>
        <v>6439.32</v>
      </c>
      <c r="I111" s="163">
        <f>F80</f>
        <v>97.2</v>
      </c>
      <c r="J111" s="164">
        <f>I111*B107</f>
        <v>9039.6</v>
      </c>
      <c r="K111" s="160"/>
      <c r="L111" s="161" t="s">
        <v>79</v>
      </c>
      <c r="M111" s="162"/>
      <c r="N111" s="162"/>
      <c r="O111" s="163">
        <f>SUM(O107:O110)</f>
        <v>30.367999999999999</v>
      </c>
      <c r="P111" s="163">
        <f>SUM(P107:P110)</f>
        <v>911.03999999999985</v>
      </c>
      <c r="Q111" s="163">
        <f>SUM(Q107:Q110)</f>
        <v>75.919999999999987</v>
      </c>
      <c r="R111" s="163">
        <f>SUM(R107:R110)</f>
        <v>2277.6</v>
      </c>
      <c r="S111" s="163">
        <f>P80</f>
        <v>106.2</v>
      </c>
      <c r="T111" s="164">
        <f>S111*L107</f>
        <v>3186</v>
      </c>
      <c r="U111" s="54"/>
      <c r="V111" s="270"/>
      <c r="W111" s="271"/>
      <c r="X111" s="271"/>
      <c r="Y111" s="272"/>
      <c r="Z111" s="54"/>
      <c r="AA111" s="54"/>
      <c r="AB111" s="54"/>
      <c r="AC111" s="54"/>
      <c r="AD111" s="54"/>
      <c r="AE111" s="54"/>
      <c r="AF111" s="270"/>
      <c r="AG111" s="271"/>
      <c r="AH111" s="271"/>
      <c r="AI111" s="272"/>
      <c r="AJ111" s="54"/>
      <c r="AK111" s="54"/>
      <c r="AL111" s="54"/>
      <c r="AM111" s="54"/>
      <c r="AN111" s="54"/>
    </row>
    <row r="112" spans="1:41" s="53" customFormat="1" ht="15" customHeight="1" x14ac:dyDescent="0.25">
      <c r="A112" s="166"/>
      <c r="B112" s="167" t="s">
        <v>81</v>
      </c>
      <c r="C112" s="168"/>
      <c r="D112" s="169"/>
      <c r="E112" s="170">
        <f t="shared" ref="E112:J112" si="158">E95+E105+E111</f>
        <v>147.62266666666667</v>
      </c>
      <c r="F112" s="170">
        <f t="shared" si="158"/>
        <v>18816.862666666664</v>
      </c>
      <c r="G112" s="170">
        <f t="shared" si="158"/>
        <v>369.05666666666667</v>
      </c>
      <c r="H112" s="170">
        <f t="shared" si="158"/>
        <v>47042.156666666669</v>
      </c>
      <c r="I112" s="170">
        <f t="shared" si="158"/>
        <v>423</v>
      </c>
      <c r="J112" s="171">
        <f t="shared" si="158"/>
        <v>55697.4</v>
      </c>
      <c r="K112" s="166"/>
      <c r="L112" s="167" t="s">
        <v>81</v>
      </c>
      <c r="M112" s="168"/>
      <c r="N112" s="169"/>
      <c r="O112" s="170">
        <f t="shared" ref="O112:T112" si="159">O95+O105+O111</f>
        <v>147.98679999999999</v>
      </c>
      <c r="P112" s="170">
        <f t="shared" si="159"/>
        <v>8556.2619999999988</v>
      </c>
      <c r="Q112" s="170">
        <f t="shared" si="159"/>
        <v>369.96699999999998</v>
      </c>
      <c r="R112" s="170">
        <f t="shared" si="159"/>
        <v>21390.654999999999</v>
      </c>
      <c r="S112" s="170">
        <f t="shared" si="159"/>
        <v>467.99999999999994</v>
      </c>
      <c r="T112" s="171">
        <f t="shared" si="159"/>
        <v>26703</v>
      </c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</row>
    <row r="113" spans="1:20" s="53" customFormat="1" ht="15" customHeight="1" thickBot="1" x14ac:dyDescent="0.3">
      <c r="A113" s="160"/>
      <c r="B113" s="179" t="s">
        <v>82</v>
      </c>
      <c r="C113" s="180"/>
      <c r="D113" s="181">
        <v>1</v>
      </c>
      <c r="E113" s="182"/>
      <c r="F113" s="182"/>
      <c r="G113" s="182"/>
      <c r="H113" s="182"/>
      <c r="I113" s="182">
        <f>I112</f>
        <v>423</v>
      </c>
      <c r="J113" s="183"/>
      <c r="K113" s="160"/>
      <c r="L113" s="179"/>
      <c r="M113" s="180"/>
      <c r="N113" s="181"/>
      <c r="O113" s="182"/>
      <c r="P113" s="182"/>
      <c r="Q113" s="182"/>
      <c r="R113" s="182"/>
      <c r="S113" s="182"/>
      <c r="T113" s="183"/>
    </row>
    <row r="114" spans="1:20" s="53" customFormat="1" ht="15" customHeight="1" x14ac:dyDescent="0.25">
      <c r="A114" s="184"/>
      <c r="B114" s="185"/>
      <c r="C114" s="186"/>
      <c r="D114" s="187"/>
      <c r="E114" s="188"/>
      <c r="F114" s="188"/>
      <c r="G114" s="188"/>
      <c r="H114" s="188"/>
      <c r="I114" s="188"/>
      <c r="J114" s="188"/>
      <c r="K114" s="184"/>
      <c r="L114" s="185"/>
      <c r="M114" s="186"/>
      <c r="N114" s="187"/>
      <c r="O114" s="188"/>
      <c r="P114" s="188"/>
      <c r="Q114" s="188"/>
      <c r="R114" s="188"/>
      <c r="S114" s="188"/>
      <c r="T114" s="188"/>
    </row>
    <row r="115" spans="1:20" s="53" customFormat="1" x14ac:dyDescent="0.25">
      <c r="A115" s="190"/>
      <c r="B115" s="191" t="s">
        <v>83</v>
      </c>
      <c r="C115" s="192"/>
      <c r="D115" s="192"/>
      <c r="E115" s="193"/>
      <c r="F115" s="193"/>
      <c r="G115" s="193"/>
      <c r="H115" s="194">
        <f>423-I112</f>
        <v>0</v>
      </c>
      <c r="I115" s="193"/>
      <c r="J115" s="194"/>
      <c r="K115" s="190"/>
      <c r="L115" s="191" t="s">
        <v>83</v>
      </c>
      <c r="M115" s="192"/>
      <c r="N115" s="192"/>
      <c r="O115" s="193"/>
      <c r="P115" s="194"/>
      <c r="Q115" s="194"/>
      <c r="R115" s="194">
        <f>468-S112</f>
        <v>0</v>
      </c>
      <c r="S115" s="194"/>
      <c r="T115" s="194"/>
    </row>
    <row r="116" spans="1:20" s="53" customFormat="1" x14ac:dyDescent="0.25">
      <c r="A116" s="190"/>
      <c r="B116" s="191"/>
      <c r="C116" s="195"/>
      <c r="D116" s="195"/>
      <c r="E116" s="193"/>
      <c r="F116" s="193"/>
      <c r="G116" s="196"/>
      <c r="H116" s="193"/>
      <c r="I116" s="196"/>
      <c r="J116" s="194"/>
      <c r="K116" s="190"/>
      <c r="L116" s="191"/>
      <c r="M116" s="195"/>
      <c r="N116" s="195"/>
      <c r="O116" s="193"/>
      <c r="P116" s="194"/>
      <c r="Q116" s="194"/>
      <c r="R116" s="194"/>
      <c r="S116" s="194"/>
      <c r="T116" s="194"/>
    </row>
    <row r="117" spans="1:20" x14ac:dyDescent="0.25">
      <c r="A117" s="53"/>
      <c r="B117" s="191" t="s">
        <v>84</v>
      </c>
      <c r="C117" s="192"/>
      <c r="D117" s="192"/>
      <c r="E117" s="193"/>
      <c r="F117" s="193"/>
      <c r="G117" s="193"/>
      <c r="H117" s="193"/>
      <c r="I117" s="193"/>
      <c r="J117" s="53"/>
      <c r="K117" s="53"/>
      <c r="L117" s="191" t="s">
        <v>84</v>
      </c>
      <c r="M117" s="192"/>
      <c r="N117" s="192"/>
      <c r="O117" s="193"/>
      <c r="P117" s="53"/>
      <c r="Q117" s="53"/>
      <c r="R117" s="53"/>
      <c r="S117" s="53"/>
      <c r="T117" s="53"/>
    </row>
    <row r="118" spans="1:20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</row>
    <row r="119" spans="1:20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</row>
  </sheetData>
  <mergeCells count="21">
    <mergeCell ref="A17:C17"/>
    <mergeCell ref="K17:M17"/>
    <mergeCell ref="A21:C21"/>
    <mergeCell ref="K21:M21"/>
    <mergeCell ref="B1:F1"/>
    <mergeCell ref="L1:P1"/>
    <mergeCell ref="A9:C9"/>
    <mergeCell ref="K9:M9"/>
    <mergeCell ref="I26:J26"/>
    <mergeCell ref="S26:T26"/>
    <mergeCell ref="AM26:AN26"/>
    <mergeCell ref="B60:F60"/>
    <mergeCell ref="L60:P60"/>
    <mergeCell ref="A80:C80"/>
    <mergeCell ref="K80:M80"/>
    <mergeCell ref="I84:J84"/>
    <mergeCell ref="S84:T84"/>
    <mergeCell ref="A68:C68"/>
    <mergeCell ref="K68:M68"/>
    <mergeCell ref="A76:C76"/>
    <mergeCell ref="K76:M76"/>
  </mergeCells>
  <pageMargins left="0.7" right="0.7" top="0.75" bottom="0.75" header="0.3" footer="0.3"/>
  <pageSetup paperSize="9" scale="72" orientation="landscape" r:id="rId1"/>
  <rowBreaks count="3" manualBreakCount="3">
    <brk id="25" max="39" man="1"/>
    <brk id="58" max="39" man="1"/>
    <brk id="83" max="39" man="1"/>
  </rowBreaks>
  <colBreaks count="3" manualBreakCount="3">
    <brk id="10" max="57" man="1"/>
    <brk id="20" max="57" man="1"/>
    <brk id="30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90" zoomScaleNormal="90" workbookViewId="0">
      <selection activeCell="C11" sqref="C11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295" t="s">
        <v>5</v>
      </c>
      <c r="C1" s="296"/>
      <c r="D1" s="296"/>
      <c r="E1" s="297"/>
      <c r="F1" s="1" t="s">
        <v>1</v>
      </c>
      <c r="G1" s="2" t="s">
        <v>2</v>
      </c>
      <c r="H1" s="1" t="s">
        <v>3</v>
      </c>
      <c r="I1" s="3">
        <v>44484</v>
      </c>
    </row>
    <row r="2" spans="1:9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19.5" thickBot="1" x14ac:dyDescent="0.3">
      <c r="A3" s="73" t="s">
        <v>6</v>
      </c>
      <c r="B3" s="74" t="s">
        <v>7</v>
      </c>
      <c r="C3" s="74" t="s">
        <v>8</v>
      </c>
      <c r="D3" s="74" t="s">
        <v>9</v>
      </c>
      <c r="E3" s="74" t="s">
        <v>10</v>
      </c>
      <c r="F3" s="74" t="s">
        <v>11</v>
      </c>
      <c r="G3" s="74" t="s">
        <v>12</v>
      </c>
      <c r="H3" s="74" t="s">
        <v>13</v>
      </c>
      <c r="I3" s="39" t="s">
        <v>14</v>
      </c>
    </row>
    <row r="4" spans="1:9" ht="19.5" x14ac:dyDescent="0.25">
      <c r="A4" s="72" t="s">
        <v>15</v>
      </c>
      <c r="B4" s="40" t="s">
        <v>16</v>
      </c>
      <c r="C4" s="5" t="s">
        <v>49</v>
      </c>
      <c r="D4" s="6" t="s">
        <v>17</v>
      </c>
      <c r="E4" s="7">
        <f>78-7.93</f>
        <v>70.069999999999993</v>
      </c>
      <c r="F4" s="76">
        <f>13.1+0.47</f>
        <v>13.57</v>
      </c>
      <c r="G4" s="76">
        <f>10.9+4.11</f>
        <v>15.010000000000002</v>
      </c>
      <c r="H4" s="8">
        <f>37.86+6.42</f>
        <v>44.28</v>
      </c>
      <c r="I4" s="9">
        <f>287.7+66.26</f>
        <v>353.96</v>
      </c>
    </row>
    <row r="5" spans="1:9" ht="19.5" x14ac:dyDescent="0.3">
      <c r="A5" s="70"/>
      <c r="B5" s="2" t="s">
        <v>18</v>
      </c>
      <c r="C5" s="10" t="s">
        <v>52</v>
      </c>
      <c r="D5" s="11" t="s">
        <v>17</v>
      </c>
      <c r="E5" s="12">
        <v>8</v>
      </c>
      <c r="F5" s="15">
        <v>0</v>
      </c>
      <c r="G5" s="15">
        <v>0</v>
      </c>
      <c r="H5" s="15">
        <v>15</v>
      </c>
      <c r="I5" s="16">
        <v>60</v>
      </c>
    </row>
    <row r="6" spans="1:9" ht="19.5" x14ac:dyDescent="0.3">
      <c r="A6" s="70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f>4/5*3</f>
        <v>2.4000000000000004</v>
      </c>
      <c r="G6" s="15">
        <f>0.5/5*3</f>
        <v>0.30000000000000004</v>
      </c>
      <c r="H6" s="15">
        <f>24.55/5*3</f>
        <v>14.73</v>
      </c>
      <c r="I6" s="16">
        <f>119/5*3</f>
        <v>71.400000000000006</v>
      </c>
    </row>
    <row r="7" spans="1:9" ht="19.5" x14ac:dyDescent="0.3">
      <c r="A7" s="70"/>
      <c r="B7" s="59" t="s">
        <v>38</v>
      </c>
      <c r="C7" s="10" t="s">
        <v>53</v>
      </c>
      <c r="D7" s="11" t="s">
        <v>33</v>
      </c>
      <c r="E7" s="12">
        <v>20</v>
      </c>
      <c r="F7" s="15">
        <v>5.0999999999999996</v>
      </c>
      <c r="G7" s="15">
        <v>4.5999999999999996</v>
      </c>
      <c r="H7" s="15">
        <v>0.3</v>
      </c>
      <c r="I7" s="16">
        <v>63</v>
      </c>
    </row>
    <row r="8" spans="1:9" ht="20.25" thickBot="1" x14ac:dyDescent="0.35">
      <c r="A8" s="71"/>
      <c r="B8" s="17"/>
      <c r="C8" s="18"/>
      <c r="D8" s="19"/>
      <c r="E8" s="20"/>
      <c r="F8" s="21"/>
      <c r="G8" s="21"/>
      <c r="H8" s="21"/>
      <c r="I8" s="22"/>
    </row>
    <row r="9" spans="1:9" ht="20.25" thickBot="1" x14ac:dyDescent="0.3">
      <c r="A9" s="67" t="s">
        <v>22</v>
      </c>
      <c r="B9" s="68"/>
      <c r="C9" s="41"/>
      <c r="D9" s="42"/>
      <c r="E9" s="43">
        <f>SUM(E4:E8)</f>
        <v>107.27</v>
      </c>
      <c r="F9" s="44">
        <f>SUM(F4:F8)</f>
        <v>21.07</v>
      </c>
      <c r="G9" s="44">
        <f t="shared" ref="G9:I9" si="0">SUM(G4:G8)</f>
        <v>19.910000000000004</v>
      </c>
      <c r="H9" s="44">
        <f t="shared" si="0"/>
        <v>74.31</v>
      </c>
      <c r="I9" s="45">
        <f t="shared" si="0"/>
        <v>548.36</v>
      </c>
    </row>
    <row r="10" spans="1:9" ht="37.5" x14ac:dyDescent="0.25">
      <c r="A10" s="47" t="s">
        <v>23</v>
      </c>
      <c r="B10" s="40" t="s">
        <v>24</v>
      </c>
      <c r="C10" s="5" t="s">
        <v>55</v>
      </c>
      <c r="D10" s="6" t="s">
        <v>43</v>
      </c>
      <c r="E10" s="7">
        <v>15</v>
      </c>
      <c r="F10" s="8">
        <f>2/2</f>
        <v>1</v>
      </c>
      <c r="G10" s="8">
        <f>2.2/2</f>
        <v>1.1000000000000001</v>
      </c>
      <c r="H10" s="8">
        <f>9/2</f>
        <v>4.5</v>
      </c>
      <c r="I10" s="9">
        <f>64.5/2</f>
        <v>32.25</v>
      </c>
    </row>
    <row r="11" spans="1:9" ht="37.5" x14ac:dyDescent="0.25">
      <c r="A11" s="60"/>
      <c r="B11" s="48" t="s">
        <v>25</v>
      </c>
      <c r="C11" s="10" t="s">
        <v>56</v>
      </c>
      <c r="D11" s="11" t="s">
        <v>39</v>
      </c>
      <c r="E11" s="12">
        <v>70</v>
      </c>
      <c r="F11" s="15">
        <v>3.5</v>
      </c>
      <c r="G11" s="15">
        <v>4.5</v>
      </c>
      <c r="H11" s="15">
        <v>14.75</v>
      </c>
      <c r="I11" s="16">
        <v>112.5</v>
      </c>
    </row>
    <row r="12" spans="1:9" ht="19.5" x14ac:dyDescent="0.3">
      <c r="A12" s="49"/>
      <c r="B12" s="2" t="s">
        <v>26</v>
      </c>
      <c r="C12" s="10" t="s">
        <v>57</v>
      </c>
      <c r="D12" s="11" t="s">
        <v>17</v>
      </c>
      <c r="E12" s="12">
        <f>80-3.13</f>
        <v>76.87</v>
      </c>
      <c r="F12" s="15">
        <f>12.77/25*20</f>
        <v>10.216000000000001</v>
      </c>
      <c r="G12" s="15">
        <f>17.86/25*20</f>
        <v>14.287999999999998</v>
      </c>
      <c r="H12" s="15">
        <f>19.5/25*20</f>
        <v>15.600000000000001</v>
      </c>
      <c r="I12" s="16">
        <f>291.49/25*20</f>
        <v>233.19200000000001</v>
      </c>
    </row>
    <row r="13" spans="1:9" ht="19.5" x14ac:dyDescent="0.3">
      <c r="A13" s="49"/>
      <c r="B13" s="2" t="s">
        <v>18</v>
      </c>
      <c r="C13" s="10" t="s">
        <v>46</v>
      </c>
      <c r="D13" s="11" t="s">
        <v>17</v>
      </c>
      <c r="E13" s="12">
        <v>24</v>
      </c>
      <c r="F13" s="15">
        <v>0.55000000000000004</v>
      </c>
      <c r="G13" s="15">
        <v>0.08</v>
      </c>
      <c r="H13" s="15">
        <v>20.3</v>
      </c>
      <c r="I13" s="16">
        <v>85.23</v>
      </c>
    </row>
    <row r="14" spans="1:9" ht="19.5" x14ac:dyDescent="0.3">
      <c r="A14" s="49"/>
      <c r="B14" s="2" t="s">
        <v>27</v>
      </c>
      <c r="C14" s="10" t="s">
        <v>28</v>
      </c>
      <c r="D14" s="11" t="s">
        <v>29</v>
      </c>
      <c r="E14" s="12">
        <v>6</v>
      </c>
      <c r="F14" s="13">
        <f>4/5*3</f>
        <v>2.4000000000000004</v>
      </c>
      <c r="G14" s="13">
        <f>0.75/5*3</f>
        <v>0.44999999999999996</v>
      </c>
      <c r="H14" s="13">
        <f>20.05/5*3</f>
        <v>12.03</v>
      </c>
      <c r="I14" s="14">
        <f>104/5*3</f>
        <v>62.400000000000006</v>
      </c>
    </row>
    <row r="15" spans="1:9" ht="19.5" x14ac:dyDescent="0.3">
      <c r="A15" s="49"/>
      <c r="B15" s="2" t="s">
        <v>30</v>
      </c>
      <c r="C15" s="10" t="s">
        <v>31</v>
      </c>
      <c r="D15" s="11" t="s">
        <v>29</v>
      </c>
      <c r="E15" s="12">
        <v>6</v>
      </c>
      <c r="F15" s="13">
        <f>3.4/5*3</f>
        <v>2.04</v>
      </c>
      <c r="G15" s="13">
        <f>0.65/5*3</f>
        <v>0.39</v>
      </c>
      <c r="H15" s="13">
        <f>19.9/5*3</f>
        <v>11.939999999999998</v>
      </c>
      <c r="I15" s="14">
        <f>100.5/5*3</f>
        <v>60.300000000000004</v>
      </c>
    </row>
    <row r="16" spans="1:9" ht="20.25" thickBot="1" x14ac:dyDescent="0.35">
      <c r="A16" s="50"/>
      <c r="B16" s="24"/>
      <c r="C16" s="18"/>
      <c r="D16" s="19"/>
      <c r="E16" s="25"/>
      <c r="F16" s="57"/>
      <c r="G16" s="57"/>
      <c r="H16" s="57"/>
      <c r="I16" s="58"/>
    </row>
    <row r="17" spans="1:9" ht="20.25" thickBot="1" x14ac:dyDescent="0.3">
      <c r="A17" s="67" t="s">
        <v>22</v>
      </c>
      <c r="B17" s="68"/>
      <c r="C17" s="41"/>
      <c r="D17" s="42"/>
      <c r="E17" s="43">
        <f>SUM(E10:E16)</f>
        <v>197.87</v>
      </c>
      <c r="F17" s="44">
        <f t="shared" ref="F17:I17" si="1">SUM(F10:F16)</f>
        <v>19.706000000000003</v>
      </c>
      <c r="G17" s="44">
        <f t="shared" si="1"/>
        <v>20.807999999999996</v>
      </c>
      <c r="H17" s="44">
        <f t="shared" si="1"/>
        <v>79.12</v>
      </c>
      <c r="I17" s="45">
        <f t="shared" si="1"/>
        <v>585.87199999999996</v>
      </c>
    </row>
    <row r="18" spans="1:9" ht="19.5" x14ac:dyDescent="0.3">
      <c r="A18" s="97" t="s">
        <v>32</v>
      </c>
      <c r="B18" s="51" t="s">
        <v>18</v>
      </c>
      <c r="C18" s="26" t="s">
        <v>59</v>
      </c>
      <c r="D18" s="27" t="s">
        <v>60</v>
      </c>
      <c r="E18" s="7">
        <v>53</v>
      </c>
      <c r="F18" s="8">
        <f>5.6+0.2</f>
        <v>5.8</v>
      </c>
      <c r="G18" s="8">
        <f>6.4</f>
        <v>6.4</v>
      </c>
      <c r="H18" s="8">
        <f>9.4</f>
        <v>9.4</v>
      </c>
      <c r="I18" s="9">
        <f>118</f>
        <v>118</v>
      </c>
    </row>
    <row r="19" spans="1:9" ht="19.5" x14ac:dyDescent="0.25">
      <c r="A19" s="98"/>
      <c r="B19" s="88" t="s">
        <v>61</v>
      </c>
      <c r="C19" s="77" t="s">
        <v>63</v>
      </c>
      <c r="D19" s="84" t="s">
        <v>33</v>
      </c>
      <c r="E19" s="12">
        <v>36.6</v>
      </c>
      <c r="F19" s="13">
        <v>10.6</v>
      </c>
      <c r="G19" s="13">
        <v>12.3</v>
      </c>
      <c r="H19" s="13">
        <v>40.1</v>
      </c>
      <c r="I19" s="14">
        <v>318</v>
      </c>
    </row>
    <row r="20" spans="1:9" ht="20.25" thickBot="1" x14ac:dyDescent="0.3">
      <c r="A20" s="101"/>
      <c r="B20" s="80"/>
      <c r="C20" s="78"/>
      <c r="D20" s="79"/>
      <c r="E20" s="25"/>
      <c r="F20" s="57"/>
      <c r="G20" s="57"/>
      <c r="H20" s="57"/>
      <c r="I20" s="58"/>
    </row>
    <row r="21" spans="1:9" ht="20.25" thickBot="1" x14ac:dyDescent="0.3">
      <c r="A21" s="56" t="s">
        <v>22</v>
      </c>
      <c r="B21" s="69"/>
      <c r="C21" s="28"/>
      <c r="D21" s="29"/>
      <c r="E21" s="46">
        <f>SUM(E18:E19)</f>
        <v>89.6</v>
      </c>
      <c r="F21" s="30">
        <f>SUM(F18:F19)</f>
        <v>16.399999999999999</v>
      </c>
      <c r="G21" s="30">
        <f>SUM(G18:G19)</f>
        <v>18.700000000000003</v>
      </c>
      <c r="H21" s="30">
        <f>SUM(H18:H19)</f>
        <v>49.5</v>
      </c>
      <c r="I21" s="31">
        <f>SUM(I18:I19)</f>
        <v>436</v>
      </c>
    </row>
    <row r="22" spans="1:9" ht="19.5" x14ac:dyDescent="0.25">
      <c r="A22" s="68"/>
      <c r="B22" s="68"/>
      <c r="C22" s="282"/>
      <c r="D22" s="283"/>
      <c r="E22" s="284"/>
      <c r="F22" s="285"/>
      <c r="G22" s="285"/>
      <c r="H22" s="285"/>
      <c r="I22" s="285"/>
    </row>
    <row r="23" spans="1:9" ht="18.75" x14ac:dyDescent="0.25">
      <c r="A23" s="32"/>
      <c r="B23" s="32"/>
      <c r="C23" s="33" t="s">
        <v>34</v>
      </c>
      <c r="D23" s="34"/>
      <c r="E23" s="35" t="s">
        <v>35</v>
      </c>
      <c r="F23" s="36"/>
      <c r="G23" s="32"/>
      <c r="H23" s="32"/>
      <c r="I23" s="32"/>
    </row>
    <row r="24" spans="1:9" ht="18.75" x14ac:dyDescent="0.25">
      <c r="A24" s="32"/>
      <c r="B24" s="32"/>
      <c r="C24" s="33"/>
      <c r="D24" s="34"/>
      <c r="E24" s="35"/>
      <c r="F24" s="36"/>
      <c r="G24" s="32"/>
      <c r="H24" s="32"/>
      <c r="I24" s="32"/>
    </row>
    <row r="25" spans="1:9" ht="18.75" x14ac:dyDescent="0.25">
      <c r="A25" s="32"/>
      <c r="B25" s="32"/>
      <c r="C25" s="37" t="s">
        <v>36</v>
      </c>
      <c r="D25" s="38"/>
      <c r="E25" s="61" t="s">
        <v>37</v>
      </c>
      <c r="F25" s="36"/>
      <c r="G25" s="32"/>
      <c r="H25" s="32"/>
      <c r="I25" s="32"/>
    </row>
    <row r="26" spans="1:9" x14ac:dyDescent="0.25">
      <c r="A26" s="62"/>
      <c r="B26" s="64"/>
      <c r="C26" s="65"/>
      <c r="D26" s="66"/>
      <c r="E26" s="63"/>
      <c r="F26" s="63"/>
      <c r="G26" s="63"/>
      <c r="H26" s="63"/>
      <c r="I26" s="63"/>
    </row>
    <row r="27" spans="1:9" x14ac:dyDescent="0.25">
      <c r="A27" s="62"/>
      <c r="B27" s="64"/>
      <c r="C27" s="65"/>
      <c r="D27" s="66"/>
      <c r="E27" s="63"/>
      <c r="F27" s="63"/>
      <c r="G27" s="63"/>
      <c r="H27" s="63"/>
      <c r="I27" s="63"/>
    </row>
    <row r="28" spans="1:9" x14ac:dyDescent="0.25">
      <c r="A28" s="54"/>
      <c r="B28" s="64"/>
      <c r="C28" s="65"/>
      <c r="D28" s="66"/>
      <c r="E28" s="54"/>
      <c r="F28" s="54"/>
      <c r="G28" s="54"/>
      <c r="H28" s="54"/>
      <c r="I28" s="54"/>
    </row>
    <row r="29" spans="1:9" x14ac:dyDescent="0.25">
      <c r="A29" s="54"/>
      <c r="B29" s="54"/>
      <c r="C29" s="54"/>
      <c r="D29" s="54"/>
      <c r="E29" s="54"/>
      <c r="F29" s="54"/>
      <c r="G29" s="54"/>
      <c r="H29" s="54"/>
      <c r="I29" s="54"/>
    </row>
    <row r="30" spans="1:9" x14ac:dyDescent="0.25">
      <c r="A30" s="53"/>
      <c r="B30" s="53"/>
      <c r="C30" s="53"/>
      <c r="D30" s="53"/>
      <c r="E30" s="53"/>
      <c r="F30" s="53"/>
      <c r="G30" s="53"/>
      <c r="H30" s="53"/>
      <c r="I30" s="53"/>
    </row>
    <row r="31" spans="1:9" x14ac:dyDescent="0.25">
      <c r="A31" s="53"/>
      <c r="B31" s="53"/>
      <c r="C31" s="53"/>
      <c r="D31" s="53"/>
      <c r="E31" s="53"/>
      <c r="F31" s="53"/>
      <c r="G31" s="53"/>
      <c r="H31" s="53"/>
      <c r="I31" s="53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11" sqref="C11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295" t="s">
        <v>5</v>
      </c>
      <c r="C1" s="296"/>
      <c r="D1" s="296"/>
      <c r="E1" s="297"/>
      <c r="F1" s="1" t="s">
        <v>1</v>
      </c>
      <c r="G1" s="2" t="s">
        <v>4</v>
      </c>
      <c r="H1" s="1" t="s">
        <v>3</v>
      </c>
      <c r="I1" s="3">
        <f>food1!I1</f>
        <v>44484</v>
      </c>
      <c r="J1" s="1"/>
    </row>
    <row r="2" spans="1:10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thickBot="1" x14ac:dyDescent="0.3">
      <c r="A3" s="73" t="s">
        <v>6</v>
      </c>
      <c r="B3" s="74" t="s">
        <v>7</v>
      </c>
      <c r="C3" s="74" t="s">
        <v>8</v>
      </c>
      <c r="D3" s="74" t="s">
        <v>9</v>
      </c>
      <c r="E3" s="74" t="s">
        <v>10</v>
      </c>
      <c r="F3" s="74" t="s">
        <v>11</v>
      </c>
      <c r="G3" s="74" t="s">
        <v>12</v>
      </c>
      <c r="H3" s="74" t="s">
        <v>13</v>
      </c>
      <c r="I3" s="39" t="s">
        <v>14</v>
      </c>
      <c r="J3" s="4"/>
    </row>
    <row r="4" spans="1:10" ht="37.5" x14ac:dyDescent="0.25">
      <c r="A4" s="72" t="s">
        <v>15</v>
      </c>
      <c r="B4" s="40" t="s">
        <v>16</v>
      </c>
      <c r="C4" s="5" t="s">
        <v>50</v>
      </c>
      <c r="D4" s="6" t="s">
        <v>51</v>
      </c>
      <c r="E4" s="7">
        <f>78+23.4-9.2</f>
        <v>92.2</v>
      </c>
      <c r="F4" s="76">
        <f>13.1+0.47+0.53</f>
        <v>14.1</v>
      </c>
      <c r="G4" s="76">
        <f>10.9+4.11+2.05</f>
        <v>17.060000000000002</v>
      </c>
      <c r="H4" s="8">
        <f>37.86+6.42+5.39</f>
        <v>49.67</v>
      </c>
      <c r="I4" s="9">
        <f>287.7+66.26+41.33</f>
        <v>395.28999999999996</v>
      </c>
      <c r="J4" s="4"/>
    </row>
    <row r="5" spans="1:10" ht="19.5" x14ac:dyDescent="0.3">
      <c r="A5" s="70"/>
      <c r="B5" s="88" t="s">
        <v>18</v>
      </c>
      <c r="C5" s="10" t="s">
        <v>52</v>
      </c>
      <c r="D5" s="11" t="s">
        <v>17</v>
      </c>
      <c r="E5" s="12">
        <v>8</v>
      </c>
      <c r="F5" s="15">
        <v>0</v>
      </c>
      <c r="G5" s="15">
        <v>0</v>
      </c>
      <c r="H5" s="15">
        <v>15</v>
      </c>
      <c r="I5" s="16">
        <v>60</v>
      </c>
      <c r="J5" s="1"/>
    </row>
    <row r="6" spans="1:10" ht="19.5" x14ac:dyDescent="0.3">
      <c r="A6" s="70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f>4/5*3</f>
        <v>2.4000000000000004</v>
      </c>
      <c r="G6" s="15">
        <f>0.5/5*3</f>
        <v>0.30000000000000004</v>
      </c>
      <c r="H6" s="15">
        <f>24.55/5*3</f>
        <v>14.73</v>
      </c>
      <c r="I6" s="16">
        <f>119/5*3</f>
        <v>71.400000000000006</v>
      </c>
      <c r="J6" s="1"/>
    </row>
    <row r="7" spans="1:10" ht="19.5" x14ac:dyDescent="0.3">
      <c r="A7" s="70"/>
      <c r="B7" s="59" t="s">
        <v>54</v>
      </c>
      <c r="C7" s="10" t="s">
        <v>53</v>
      </c>
      <c r="D7" s="11" t="s">
        <v>33</v>
      </c>
      <c r="E7" s="12">
        <v>20</v>
      </c>
      <c r="F7" s="15">
        <v>5.0999999999999996</v>
      </c>
      <c r="G7" s="15">
        <v>4.5999999999999996</v>
      </c>
      <c r="H7" s="15">
        <v>0.3</v>
      </c>
      <c r="I7" s="16">
        <v>63</v>
      </c>
      <c r="J7" s="1"/>
    </row>
    <row r="8" spans="1:10" ht="20.25" thickBot="1" x14ac:dyDescent="0.35">
      <c r="A8" s="71"/>
      <c r="B8" s="17"/>
      <c r="C8" s="18"/>
      <c r="D8" s="19"/>
      <c r="E8" s="20"/>
      <c r="F8" s="21"/>
      <c r="G8" s="21"/>
      <c r="H8" s="21"/>
      <c r="I8" s="22"/>
      <c r="J8" s="1"/>
    </row>
    <row r="9" spans="1:10" ht="20.25" thickBot="1" x14ac:dyDescent="0.3">
      <c r="A9" s="67" t="s">
        <v>22</v>
      </c>
      <c r="B9" s="68"/>
      <c r="C9" s="41"/>
      <c r="D9" s="42"/>
      <c r="E9" s="43">
        <f>SUM(E4:E8)</f>
        <v>129.4</v>
      </c>
      <c r="F9" s="44">
        <f>SUM(F4:F8)</f>
        <v>21.6</v>
      </c>
      <c r="G9" s="44">
        <f t="shared" ref="G9:I9" si="0">SUM(G4:G8)</f>
        <v>21.96</v>
      </c>
      <c r="H9" s="44">
        <f t="shared" si="0"/>
        <v>79.7</v>
      </c>
      <c r="I9" s="45">
        <f t="shared" si="0"/>
        <v>589.68999999999994</v>
      </c>
      <c r="J9" s="23"/>
    </row>
    <row r="10" spans="1:10" ht="37.5" x14ac:dyDescent="0.25">
      <c r="A10" s="47" t="s">
        <v>23</v>
      </c>
      <c r="B10" s="40" t="s">
        <v>24</v>
      </c>
      <c r="C10" s="5" t="s">
        <v>55</v>
      </c>
      <c r="D10" s="6" t="s">
        <v>43</v>
      </c>
      <c r="E10" s="7">
        <v>15</v>
      </c>
      <c r="F10" s="8">
        <f>2/2</f>
        <v>1</v>
      </c>
      <c r="G10" s="8">
        <f>2.2/2</f>
        <v>1.1000000000000001</v>
      </c>
      <c r="H10" s="8">
        <f>9/2</f>
        <v>4.5</v>
      </c>
      <c r="I10" s="9">
        <f>64.5/2</f>
        <v>32.25</v>
      </c>
      <c r="J10" s="4"/>
    </row>
    <row r="11" spans="1:10" ht="37.5" x14ac:dyDescent="0.25">
      <c r="A11" s="60"/>
      <c r="B11" s="48" t="s">
        <v>25</v>
      </c>
      <c r="C11" s="10" t="s">
        <v>56</v>
      </c>
      <c r="D11" s="11" t="s">
        <v>40</v>
      </c>
      <c r="E11" s="12">
        <v>65</v>
      </c>
      <c r="F11" s="15">
        <v>3.5</v>
      </c>
      <c r="G11" s="15">
        <v>4.5</v>
      </c>
      <c r="H11" s="15">
        <v>14.75</v>
      </c>
      <c r="I11" s="16">
        <v>112.5</v>
      </c>
      <c r="J11" s="4"/>
    </row>
    <row r="12" spans="1:10" ht="19.5" x14ac:dyDescent="0.3">
      <c r="A12" s="49"/>
      <c r="B12" s="2" t="s">
        <v>26</v>
      </c>
      <c r="C12" s="10" t="s">
        <v>57</v>
      </c>
      <c r="D12" s="11" t="s">
        <v>58</v>
      </c>
      <c r="E12" s="12">
        <f>71.87/20*25+3.89</f>
        <v>93.727500000000006</v>
      </c>
      <c r="F12" s="15">
        <f>12.77</f>
        <v>12.77</v>
      </c>
      <c r="G12" s="15">
        <f>17.86</f>
        <v>17.86</v>
      </c>
      <c r="H12" s="15">
        <f>19.5</f>
        <v>19.5</v>
      </c>
      <c r="I12" s="16">
        <f>291.49</f>
        <v>291.49</v>
      </c>
      <c r="J12" s="1"/>
    </row>
    <row r="13" spans="1:10" ht="19.5" x14ac:dyDescent="0.3">
      <c r="A13" s="49"/>
      <c r="B13" s="2" t="s">
        <v>18</v>
      </c>
      <c r="C13" s="10" t="s">
        <v>46</v>
      </c>
      <c r="D13" s="11" t="s">
        <v>17</v>
      </c>
      <c r="E13" s="12">
        <v>24</v>
      </c>
      <c r="F13" s="15">
        <v>0.55000000000000004</v>
      </c>
      <c r="G13" s="15">
        <v>0.08</v>
      </c>
      <c r="H13" s="15">
        <v>20.3</v>
      </c>
      <c r="I13" s="16">
        <v>85.23</v>
      </c>
      <c r="J13" s="1"/>
    </row>
    <row r="14" spans="1:10" ht="19.5" x14ac:dyDescent="0.3">
      <c r="A14" s="49"/>
      <c r="B14" s="2" t="s">
        <v>27</v>
      </c>
      <c r="C14" s="10" t="s">
        <v>28</v>
      </c>
      <c r="D14" s="11" t="s">
        <v>29</v>
      </c>
      <c r="E14" s="12">
        <v>6</v>
      </c>
      <c r="F14" s="13">
        <f>4/5*3</f>
        <v>2.4000000000000004</v>
      </c>
      <c r="G14" s="13">
        <f>0.75/5*3</f>
        <v>0.44999999999999996</v>
      </c>
      <c r="H14" s="13">
        <f>20.05/5*3</f>
        <v>12.03</v>
      </c>
      <c r="I14" s="14">
        <f>104/5*3</f>
        <v>62.400000000000006</v>
      </c>
      <c r="J14" s="1"/>
    </row>
    <row r="15" spans="1:10" ht="19.5" x14ac:dyDescent="0.3">
      <c r="A15" s="49"/>
      <c r="B15" s="2" t="s">
        <v>30</v>
      </c>
      <c r="C15" s="10" t="s">
        <v>31</v>
      </c>
      <c r="D15" s="11" t="s">
        <v>29</v>
      </c>
      <c r="E15" s="12">
        <v>6</v>
      </c>
      <c r="F15" s="13">
        <f>3.4/5*3</f>
        <v>2.04</v>
      </c>
      <c r="G15" s="13">
        <f>0.65/5*3</f>
        <v>0.39</v>
      </c>
      <c r="H15" s="13">
        <f>19.9/5*3</f>
        <v>11.939999999999998</v>
      </c>
      <c r="I15" s="14">
        <f>100.5/5*3</f>
        <v>60.300000000000004</v>
      </c>
      <c r="J15" s="1"/>
    </row>
    <row r="16" spans="1:10" ht="20.25" thickBot="1" x14ac:dyDescent="0.35">
      <c r="A16" s="50"/>
      <c r="B16" s="24"/>
      <c r="C16" s="18"/>
      <c r="D16" s="19"/>
      <c r="E16" s="25"/>
      <c r="F16" s="57"/>
      <c r="G16" s="57"/>
      <c r="H16" s="57"/>
      <c r="I16" s="58"/>
      <c r="J16" s="1"/>
    </row>
    <row r="17" spans="1:10" ht="20.25" thickBot="1" x14ac:dyDescent="0.3">
      <c r="A17" s="67" t="s">
        <v>22</v>
      </c>
      <c r="B17" s="68"/>
      <c r="C17" s="41"/>
      <c r="D17" s="42"/>
      <c r="E17" s="43">
        <f>SUM(E10:E16)</f>
        <v>209.72750000000002</v>
      </c>
      <c r="F17" s="44">
        <f t="shared" ref="F17:I17" si="1">SUM(F10:F16)</f>
        <v>22.259999999999998</v>
      </c>
      <c r="G17" s="44">
        <f t="shared" si="1"/>
        <v>24.38</v>
      </c>
      <c r="H17" s="44">
        <f t="shared" si="1"/>
        <v>83.02</v>
      </c>
      <c r="I17" s="45">
        <f t="shared" si="1"/>
        <v>644.16999999999996</v>
      </c>
      <c r="J17" s="23"/>
    </row>
    <row r="18" spans="1:10" ht="19.5" x14ac:dyDescent="0.3">
      <c r="A18" s="95" t="s">
        <v>32</v>
      </c>
      <c r="B18" s="51" t="s">
        <v>18</v>
      </c>
      <c r="C18" s="26" t="s">
        <v>59</v>
      </c>
      <c r="D18" s="27" t="s">
        <v>60</v>
      </c>
      <c r="E18" s="7">
        <v>53</v>
      </c>
      <c r="F18" s="8">
        <f>5.6+0.2</f>
        <v>5.8</v>
      </c>
      <c r="G18" s="8">
        <f>6.4</f>
        <v>6.4</v>
      </c>
      <c r="H18" s="8">
        <f>9.4</f>
        <v>9.4</v>
      </c>
      <c r="I18" s="9">
        <f>118</f>
        <v>118</v>
      </c>
      <c r="J18" s="1"/>
    </row>
    <row r="19" spans="1:10" ht="19.5" x14ac:dyDescent="0.3">
      <c r="A19" s="60"/>
      <c r="B19" s="88" t="s">
        <v>61</v>
      </c>
      <c r="C19" s="77" t="s">
        <v>63</v>
      </c>
      <c r="D19" s="84" t="s">
        <v>33</v>
      </c>
      <c r="E19" s="12">
        <v>36.6</v>
      </c>
      <c r="F19" s="13">
        <v>10.6</v>
      </c>
      <c r="G19" s="13">
        <v>12.3</v>
      </c>
      <c r="H19" s="13">
        <v>40.1</v>
      </c>
      <c r="I19" s="14">
        <v>318</v>
      </c>
      <c r="J19" s="1"/>
    </row>
    <row r="20" spans="1:10" ht="20.25" thickBot="1" x14ac:dyDescent="0.35">
      <c r="A20" s="99"/>
      <c r="B20" s="24" t="s">
        <v>64</v>
      </c>
      <c r="C20" s="18" t="s">
        <v>65</v>
      </c>
      <c r="D20" s="19" t="s">
        <v>33</v>
      </c>
      <c r="E20" s="25">
        <v>9</v>
      </c>
      <c r="F20" s="21">
        <v>1.1000000000000001</v>
      </c>
      <c r="G20" s="21">
        <v>1.3</v>
      </c>
      <c r="H20" s="21">
        <v>10.9</v>
      </c>
      <c r="I20" s="22">
        <v>72</v>
      </c>
      <c r="J20" s="23"/>
    </row>
    <row r="21" spans="1:10" ht="20.25" thickBot="1" x14ac:dyDescent="0.3">
      <c r="A21" s="56" t="s">
        <v>22</v>
      </c>
      <c r="B21" s="69"/>
      <c r="C21" s="28"/>
      <c r="D21" s="55"/>
      <c r="E21" s="46">
        <f t="shared" ref="E21:I21" si="2">SUM(E18:E20)</f>
        <v>98.6</v>
      </c>
      <c r="F21" s="30">
        <f t="shared" si="2"/>
        <v>17.5</v>
      </c>
      <c r="G21" s="30">
        <f t="shared" si="2"/>
        <v>20.000000000000004</v>
      </c>
      <c r="H21" s="30">
        <f t="shared" si="2"/>
        <v>60.4</v>
      </c>
      <c r="I21" s="31">
        <f t="shared" si="2"/>
        <v>508</v>
      </c>
      <c r="J21" s="23"/>
    </row>
    <row r="22" spans="1:10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8.75" x14ac:dyDescent="0.25">
      <c r="A23" s="32"/>
      <c r="B23" s="32"/>
      <c r="C23" s="33" t="s">
        <v>34</v>
      </c>
      <c r="D23" s="34"/>
      <c r="E23" s="35" t="s">
        <v>35</v>
      </c>
      <c r="F23" s="36"/>
      <c r="G23" s="52"/>
      <c r="H23" s="32"/>
      <c r="I23" s="32"/>
      <c r="J23" s="32"/>
    </row>
    <row r="24" spans="1:10" ht="18.75" x14ac:dyDescent="0.25">
      <c r="A24" s="32"/>
      <c r="B24" s="32"/>
      <c r="C24" s="33"/>
      <c r="D24" s="34"/>
      <c r="E24" s="35"/>
      <c r="F24" s="36"/>
      <c r="G24" s="32"/>
      <c r="H24" s="32"/>
      <c r="I24" s="32"/>
      <c r="J24" s="32"/>
    </row>
    <row r="25" spans="1:10" ht="18.75" x14ac:dyDescent="0.25">
      <c r="A25" s="32"/>
      <c r="B25" s="32"/>
      <c r="C25" s="37" t="s">
        <v>36</v>
      </c>
      <c r="D25" s="38"/>
      <c r="E25" s="61" t="s">
        <v>37</v>
      </c>
      <c r="F25" s="36"/>
      <c r="G25" s="32"/>
      <c r="H25" s="32"/>
      <c r="I25" s="32"/>
      <c r="J25" s="32"/>
    </row>
    <row r="26" spans="1:10" x14ac:dyDescent="0.25">
      <c r="A26" s="62"/>
      <c r="B26" s="64"/>
      <c r="C26" s="65"/>
      <c r="D26" s="66"/>
      <c r="E26" s="63"/>
      <c r="F26" s="63"/>
      <c r="G26" s="63"/>
      <c r="H26" s="63"/>
      <c r="I26" s="63"/>
      <c r="J26" s="53"/>
    </row>
    <row r="27" spans="1:10" x14ac:dyDescent="0.25">
      <c r="A27" s="62"/>
      <c r="B27" s="64"/>
      <c r="C27" s="65"/>
      <c r="D27" s="66"/>
      <c r="E27" s="63"/>
      <c r="F27" s="63"/>
      <c r="G27" s="63"/>
      <c r="H27" s="63"/>
      <c r="I27" s="63"/>
      <c r="J27" s="53"/>
    </row>
    <row r="28" spans="1:10" x14ac:dyDescent="0.25">
      <c r="A28" s="54"/>
      <c r="B28" s="64"/>
      <c r="C28" s="65"/>
      <c r="D28" s="66"/>
      <c r="E28" s="54"/>
      <c r="F28" s="54"/>
      <c r="G28" s="54"/>
      <c r="H28" s="54"/>
      <c r="I28" s="54"/>
      <c r="J28" s="53"/>
    </row>
    <row r="29" spans="1:10" x14ac:dyDescent="0.25">
      <c r="A29" s="54"/>
      <c r="B29" s="54"/>
      <c r="C29" s="54"/>
      <c r="D29" s="54"/>
      <c r="E29" s="54"/>
      <c r="F29" s="54"/>
      <c r="G29" s="54"/>
      <c r="H29" s="54"/>
      <c r="I29" s="54"/>
      <c r="J29" s="53"/>
    </row>
    <row r="30" spans="1:10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0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15.10</vt:lpstr>
      <vt:lpstr>food1</vt:lpstr>
      <vt:lpstr>food2</vt:lpstr>
      <vt:lpstr>'15.10'!Область_печати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2021-10-14T08:27:21Z</dcterms:modified>
</cp:coreProperties>
</file>