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activeTab="6"/>
  </bookViews>
  <sheets>
    <sheet name="02.09" sheetId="2" r:id="rId1"/>
    <sheet name="03.09" sheetId="4" r:id="rId2"/>
    <sheet name="06.09" sheetId="5" r:id="rId3"/>
    <sheet name="07.09" sheetId="6" r:id="rId4"/>
    <sheet name="08.09" sheetId="7" r:id="rId5"/>
    <sheet name="09.09" sheetId="8" r:id="rId6"/>
    <sheet name="10.09" sheetId="9" r:id="rId7"/>
  </sheets>
  <definedNames>
    <definedName name="_xlnm.Print_Area" localSheetId="0">'02.09'!$A$1:$T$57</definedName>
    <definedName name="_xlnm.Print_Area" localSheetId="1">'03.09'!$A$1:$T$24</definedName>
    <definedName name="_xlnm.Print_Area" localSheetId="2">'06.09'!$A$1:$T$25</definedName>
    <definedName name="_xlnm.Print_Area" localSheetId="3">'07.09'!$A$1:$T$24</definedName>
    <definedName name="_xlnm.Print_Area" localSheetId="4">'08.09'!$A$1:$T$24</definedName>
    <definedName name="_xlnm.Print_Area" localSheetId="5">'09.09'!$A$1:$T$24</definedName>
    <definedName name="_xlnm.Print_Area" localSheetId="6">'10.09'!$A$1:$T$24</definedName>
  </definedNames>
  <calcPr calcId="152511"/>
</workbook>
</file>

<file path=xl/calcChain.xml><?xml version="1.0" encoding="utf-8"?>
<calcChain xmlns="http://schemas.openxmlformats.org/spreadsheetml/2006/main">
  <c r="P20" i="9" l="1"/>
  <c r="F20" i="9"/>
  <c r="T19" i="9"/>
  <c r="T20" i="9" s="1"/>
  <c r="S19" i="9"/>
  <c r="S20" i="9" s="1"/>
  <c r="R19" i="9"/>
  <c r="R20" i="9" s="1"/>
  <c r="Q19" i="9"/>
  <c r="Q20" i="9" s="1"/>
  <c r="M19" i="9"/>
  <c r="J19" i="9"/>
  <c r="J20" i="9" s="1"/>
  <c r="I19" i="9"/>
  <c r="I20" i="9" s="1"/>
  <c r="H19" i="9"/>
  <c r="H20" i="9" s="1"/>
  <c r="G19" i="9"/>
  <c r="G20" i="9" s="1"/>
  <c r="C19" i="9"/>
  <c r="T16" i="9"/>
  <c r="S16" i="9"/>
  <c r="R16" i="9"/>
  <c r="Q16" i="9"/>
  <c r="J16" i="9"/>
  <c r="I16" i="9"/>
  <c r="H16" i="9"/>
  <c r="G16" i="9"/>
  <c r="T15" i="9"/>
  <c r="S15" i="9"/>
  <c r="R15" i="9"/>
  <c r="Q15" i="9"/>
  <c r="J15" i="9"/>
  <c r="J17" i="9" s="1"/>
  <c r="I15" i="9"/>
  <c r="I17" i="9" s="1"/>
  <c r="H15" i="9"/>
  <c r="H17" i="9" s="1"/>
  <c r="G15" i="9"/>
  <c r="G17" i="9" s="1"/>
  <c r="T13" i="9"/>
  <c r="T17" i="9" s="1"/>
  <c r="S13" i="9"/>
  <c r="S17" i="9" s="1"/>
  <c r="R13" i="9"/>
  <c r="R17" i="9" s="1"/>
  <c r="Q13" i="9"/>
  <c r="Q17" i="9" s="1"/>
  <c r="P13" i="9"/>
  <c r="P12" i="9"/>
  <c r="F12" i="9"/>
  <c r="P11" i="9"/>
  <c r="M11" i="9"/>
  <c r="M12" i="9" s="1"/>
  <c r="M13" i="9" s="1"/>
  <c r="M14" i="9" s="1"/>
  <c r="M15" i="9" s="1"/>
  <c r="M16" i="9" s="1"/>
  <c r="C11" i="9"/>
  <c r="C12" i="9" s="1"/>
  <c r="C13" i="9" s="1"/>
  <c r="C14" i="9" s="1"/>
  <c r="C15" i="9" s="1"/>
  <c r="C16" i="9" s="1"/>
  <c r="J9" i="9"/>
  <c r="I9" i="9"/>
  <c r="H9" i="9"/>
  <c r="G9" i="9"/>
  <c r="M5" i="9"/>
  <c r="M6" i="9" s="1"/>
  <c r="M7" i="9" s="1"/>
  <c r="M8" i="9" s="1"/>
  <c r="C5" i="9"/>
  <c r="C6" i="9" s="1"/>
  <c r="C7" i="9" s="1"/>
  <c r="C8" i="9" s="1"/>
  <c r="T4" i="9"/>
  <c r="T9" i="9" s="1"/>
  <c r="S4" i="9"/>
  <c r="S9" i="9" s="1"/>
  <c r="R4" i="9"/>
  <c r="R9" i="9" s="1"/>
  <c r="Q4" i="9"/>
  <c r="Q9" i="9" s="1"/>
  <c r="P4" i="9"/>
  <c r="F4" i="9"/>
  <c r="F9" i="9" s="1"/>
  <c r="T1" i="9"/>
  <c r="P17" i="9" l="1"/>
  <c r="F17" i="9"/>
  <c r="P9" i="9"/>
  <c r="T20" i="8"/>
  <c r="S20" i="8"/>
  <c r="R20" i="8"/>
  <c r="Q20" i="8"/>
  <c r="P20" i="8"/>
  <c r="J20" i="8"/>
  <c r="I20" i="8"/>
  <c r="H20" i="8"/>
  <c r="G20" i="8"/>
  <c r="F20" i="8"/>
  <c r="M19" i="8"/>
  <c r="C19" i="8"/>
  <c r="T16" i="8"/>
  <c r="S16" i="8"/>
  <c r="R16" i="8"/>
  <c r="Q16" i="8"/>
  <c r="J16" i="8"/>
  <c r="I16" i="8"/>
  <c r="H16" i="8"/>
  <c r="G16" i="8"/>
  <c r="T15" i="8"/>
  <c r="S15" i="8"/>
  <c r="R15" i="8"/>
  <c r="Q15" i="8"/>
  <c r="J15" i="8"/>
  <c r="J17" i="8" s="1"/>
  <c r="I15" i="8"/>
  <c r="I17" i="8" s="1"/>
  <c r="H15" i="8"/>
  <c r="H17" i="8" s="1"/>
  <c r="G15" i="8"/>
  <c r="G17" i="8" s="1"/>
  <c r="T13" i="8"/>
  <c r="T17" i="8" s="1"/>
  <c r="S13" i="8"/>
  <c r="S17" i="8" s="1"/>
  <c r="R13" i="8"/>
  <c r="R17" i="8" s="1"/>
  <c r="Q13" i="8"/>
  <c r="Q17" i="8" s="1"/>
  <c r="P12" i="8"/>
  <c r="F12" i="8"/>
  <c r="P11" i="8"/>
  <c r="M11" i="8"/>
  <c r="M12" i="8" s="1"/>
  <c r="M13" i="8" s="1"/>
  <c r="M14" i="8" s="1"/>
  <c r="M15" i="8" s="1"/>
  <c r="M16" i="8" s="1"/>
  <c r="C11" i="8"/>
  <c r="C12" i="8" s="1"/>
  <c r="C13" i="8" s="1"/>
  <c r="C14" i="8" s="1"/>
  <c r="C15" i="8" s="1"/>
  <c r="C16" i="8" s="1"/>
  <c r="J9" i="8"/>
  <c r="I9" i="8"/>
  <c r="H9" i="8"/>
  <c r="G9" i="8"/>
  <c r="M5" i="8"/>
  <c r="M6" i="8" s="1"/>
  <c r="M7" i="8" s="1"/>
  <c r="M8" i="8" s="1"/>
  <c r="C5" i="8"/>
  <c r="C6" i="8" s="1"/>
  <c r="C7" i="8" s="1"/>
  <c r="C8" i="8" s="1"/>
  <c r="T4" i="8"/>
  <c r="T9" i="8" s="1"/>
  <c r="S4" i="8"/>
  <c r="S9" i="8" s="1"/>
  <c r="R4" i="8"/>
  <c r="R9" i="8" s="1"/>
  <c r="Q4" i="8"/>
  <c r="Q9" i="8" s="1"/>
  <c r="P4" i="8"/>
  <c r="P9" i="8" s="1"/>
  <c r="F4" i="8"/>
  <c r="P17" i="8" l="1"/>
  <c r="T1" i="8"/>
  <c r="F9" i="8"/>
  <c r="F17" i="8"/>
  <c r="T20" i="7"/>
  <c r="S20" i="7"/>
  <c r="R20" i="7"/>
  <c r="Q20" i="7"/>
  <c r="P20" i="7"/>
  <c r="J20" i="7"/>
  <c r="I20" i="7"/>
  <c r="H20" i="7"/>
  <c r="G20" i="7"/>
  <c r="F20" i="7"/>
  <c r="M19" i="7"/>
  <c r="C19" i="7"/>
  <c r="T16" i="7"/>
  <c r="S16" i="7"/>
  <c r="R16" i="7"/>
  <c r="Q16" i="7"/>
  <c r="J16" i="7"/>
  <c r="I16" i="7"/>
  <c r="H16" i="7"/>
  <c r="G16" i="7"/>
  <c r="T15" i="7"/>
  <c r="S15" i="7"/>
  <c r="R15" i="7"/>
  <c r="Q15" i="7"/>
  <c r="J15" i="7"/>
  <c r="J17" i="7" s="1"/>
  <c r="I15" i="7"/>
  <c r="I17" i="7" s="1"/>
  <c r="H15" i="7"/>
  <c r="H17" i="7" s="1"/>
  <c r="G15" i="7"/>
  <c r="G17" i="7" s="1"/>
  <c r="T13" i="7"/>
  <c r="T17" i="7" s="1"/>
  <c r="S13" i="7"/>
  <c r="S17" i="7" s="1"/>
  <c r="R13" i="7"/>
  <c r="R17" i="7" s="1"/>
  <c r="Q13" i="7"/>
  <c r="Q17" i="7" s="1"/>
  <c r="P12" i="7"/>
  <c r="F12" i="7"/>
  <c r="P11" i="7"/>
  <c r="M11" i="7"/>
  <c r="M12" i="7" s="1"/>
  <c r="M13" i="7" s="1"/>
  <c r="M14" i="7" s="1"/>
  <c r="M15" i="7" s="1"/>
  <c r="M16" i="7" s="1"/>
  <c r="C11" i="7"/>
  <c r="C12" i="7" s="1"/>
  <c r="C13" i="7" s="1"/>
  <c r="C14" i="7" s="1"/>
  <c r="C15" i="7" s="1"/>
  <c r="C16" i="7" s="1"/>
  <c r="J9" i="7"/>
  <c r="I9" i="7"/>
  <c r="H9" i="7"/>
  <c r="G9" i="7"/>
  <c r="M5" i="7"/>
  <c r="M6" i="7" s="1"/>
  <c r="M7" i="7" s="1"/>
  <c r="C5" i="7"/>
  <c r="C6" i="7" s="1"/>
  <c r="C7" i="7" s="1"/>
  <c r="T4" i="7"/>
  <c r="T9" i="7" s="1"/>
  <c r="S4" i="7"/>
  <c r="S9" i="7" s="1"/>
  <c r="R4" i="7"/>
  <c r="R9" i="7" s="1"/>
  <c r="Q4" i="7"/>
  <c r="Q9" i="7" s="1"/>
  <c r="P4" i="7"/>
  <c r="F4" i="7"/>
  <c r="P9" i="7" l="1"/>
  <c r="F17" i="7"/>
  <c r="F9" i="7"/>
  <c r="P17" i="7"/>
  <c r="T20" i="6"/>
  <c r="S20" i="6"/>
  <c r="R20" i="6"/>
  <c r="Q20" i="6"/>
  <c r="P20" i="6"/>
  <c r="J20" i="6"/>
  <c r="I20" i="6"/>
  <c r="H20" i="6"/>
  <c r="G20" i="6"/>
  <c r="F20" i="6"/>
  <c r="M19" i="6"/>
  <c r="C19" i="6"/>
  <c r="T16" i="6"/>
  <c r="S16" i="6"/>
  <c r="R16" i="6"/>
  <c r="Q16" i="6"/>
  <c r="J16" i="6"/>
  <c r="I16" i="6"/>
  <c r="H16" i="6"/>
  <c r="G16" i="6"/>
  <c r="T15" i="6"/>
  <c r="S15" i="6"/>
  <c r="R15" i="6"/>
  <c r="Q15" i="6"/>
  <c r="J15" i="6"/>
  <c r="I15" i="6"/>
  <c r="H15" i="6"/>
  <c r="G15" i="6"/>
  <c r="T13" i="6"/>
  <c r="S13" i="6"/>
  <c r="R13" i="6"/>
  <c r="Q13" i="6"/>
  <c r="P13" i="6"/>
  <c r="P12" i="6"/>
  <c r="F12" i="6"/>
  <c r="T11" i="6"/>
  <c r="T17" i="6" s="1"/>
  <c r="S11" i="6"/>
  <c r="R11" i="6"/>
  <c r="R17" i="6" s="1"/>
  <c r="Q11" i="6"/>
  <c r="P11" i="6"/>
  <c r="M11" i="6"/>
  <c r="M12" i="6" s="1"/>
  <c r="M13" i="6" s="1"/>
  <c r="M14" i="6" s="1"/>
  <c r="M15" i="6" s="1"/>
  <c r="M16" i="6" s="1"/>
  <c r="J11" i="6"/>
  <c r="I11" i="6"/>
  <c r="H11" i="6"/>
  <c r="H17" i="6" s="1"/>
  <c r="G11" i="6"/>
  <c r="C11" i="6"/>
  <c r="C12" i="6" s="1"/>
  <c r="C13" i="6" s="1"/>
  <c r="C14" i="6" s="1"/>
  <c r="C15" i="6" s="1"/>
  <c r="C16" i="6" s="1"/>
  <c r="J9" i="6"/>
  <c r="I9" i="6"/>
  <c r="H9" i="6"/>
  <c r="G9" i="6"/>
  <c r="F9" i="6"/>
  <c r="M5" i="6"/>
  <c r="M6" i="6" s="1"/>
  <c r="C5" i="6"/>
  <c r="C6" i="6" s="1"/>
  <c r="C7" i="6" s="1"/>
  <c r="C8" i="6" s="1"/>
  <c r="T4" i="6"/>
  <c r="T9" i="6" s="1"/>
  <c r="S4" i="6"/>
  <c r="S9" i="6" s="1"/>
  <c r="R4" i="6"/>
  <c r="R9" i="6" s="1"/>
  <c r="Q4" i="6"/>
  <c r="Q9" i="6" s="1"/>
  <c r="P4" i="6"/>
  <c r="T1" i="6"/>
  <c r="T1" i="7" l="1"/>
  <c r="Q17" i="6"/>
  <c r="F17" i="6"/>
  <c r="G17" i="6"/>
  <c r="I17" i="6"/>
  <c r="S17" i="6"/>
  <c r="J17" i="6"/>
  <c r="M8" i="6"/>
  <c r="M7" i="6"/>
  <c r="P9" i="6"/>
  <c r="P17" i="6"/>
  <c r="T21" i="5"/>
  <c r="S21" i="5"/>
  <c r="R21" i="5"/>
  <c r="Q21" i="5"/>
  <c r="P21" i="5"/>
  <c r="J21" i="5"/>
  <c r="I21" i="5"/>
  <c r="H21" i="5"/>
  <c r="G21" i="5"/>
  <c r="F21" i="5"/>
  <c r="M19" i="5"/>
  <c r="M20" i="5" s="1"/>
  <c r="C19" i="5"/>
  <c r="T15" i="5"/>
  <c r="S15" i="5"/>
  <c r="R15" i="5"/>
  <c r="Q15" i="5"/>
  <c r="J15" i="5"/>
  <c r="I15" i="5"/>
  <c r="H15" i="5"/>
  <c r="G15" i="5"/>
  <c r="T14" i="5"/>
  <c r="S14" i="5"/>
  <c r="R14" i="5"/>
  <c r="Q14" i="5"/>
  <c r="J14" i="5"/>
  <c r="J17" i="5" s="1"/>
  <c r="I14" i="5"/>
  <c r="I17" i="5" s="1"/>
  <c r="H14" i="5"/>
  <c r="H17" i="5" s="1"/>
  <c r="G14" i="5"/>
  <c r="G17" i="5" s="1"/>
  <c r="T12" i="5"/>
  <c r="S12" i="5"/>
  <c r="S17" i="5" s="1"/>
  <c r="R12" i="5"/>
  <c r="Q12" i="5"/>
  <c r="Q17" i="5" s="1"/>
  <c r="P12" i="5"/>
  <c r="F12" i="5"/>
  <c r="P11" i="5"/>
  <c r="M11" i="5"/>
  <c r="M12" i="5" s="1"/>
  <c r="M13" i="5" s="1"/>
  <c r="M14" i="5" s="1"/>
  <c r="M15" i="5" s="1"/>
  <c r="F11" i="5"/>
  <c r="C11" i="5"/>
  <c r="C12" i="5" s="1"/>
  <c r="C13" i="5" s="1"/>
  <c r="C14" i="5" s="1"/>
  <c r="C15" i="5" s="1"/>
  <c r="J9" i="5"/>
  <c r="I9" i="5"/>
  <c r="H9" i="5"/>
  <c r="G9" i="5"/>
  <c r="F9" i="5"/>
  <c r="M5" i="5"/>
  <c r="M6" i="5" s="1"/>
  <c r="C5" i="5"/>
  <c r="C6" i="5" s="1"/>
  <c r="C7" i="5" s="1"/>
  <c r="C8" i="5" s="1"/>
  <c r="T4" i="5"/>
  <c r="T9" i="5" s="1"/>
  <c r="S4" i="5"/>
  <c r="S9" i="5" s="1"/>
  <c r="R4" i="5"/>
  <c r="R9" i="5" s="1"/>
  <c r="Q4" i="5"/>
  <c r="Q9" i="5" s="1"/>
  <c r="P4" i="5"/>
  <c r="R17" i="5" l="1"/>
  <c r="T17" i="5"/>
  <c r="M8" i="5"/>
  <c r="M7" i="5"/>
  <c r="P9" i="5"/>
  <c r="F17" i="5"/>
  <c r="P17" i="5"/>
  <c r="T20" i="4"/>
  <c r="S20" i="4"/>
  <c r="R20" i="4"/>
  <c r="Q20" i="4"/>
  <c r="P20" i="4"/>
  <c r="J20" i="4"/>
  <c r="I20" i="4"/>
  <c r="H20" i="4"/>
  <c r="G20" i="4"/>
  <c r="F20" i="4"/>
  <c r="M19" i="4"/>
  <c r="C19" i="4"/>
  <c r="T16" i="4"/>
  <c r="S16" i="4"/>
  <c r="R16" i="4"/>
  <c r="Q16" i="4"/>
  <c r="J16" i="4"/>
  <c r="I16" i="4"/>
  <c r="H16" i="4"/>
  <c r="G16" i="4"/>
  <c r="T15" i="4"/>
  <c r="S15" i="4"/>
  <c r="R15" i="4"/>
  <c r="Q15" i="4"/>
  <c r="J15" i="4"/>
  <c r="J17" i="4" s="1"/>
  <c r="I15" i="4"/>
  <c r="I17" i="4" s="1"/>
  <c r="H15" i="4"/>
  <c r="H17" i="4" s="1"/>
  <c r="G15" i="4"/>
  <c r="G17" i="4" s="1"/>
  <c r="T13" i="4"/>
  <c r="T17" i="4" s="1"/>
  <c r="S13" i="4"/>
  <c r="S17" i="4" s="1"/>
  <c r="R13" i="4"/>
  <c r="R17" i="4" s="1"/>
  <c r="Q13" i="4"/>
  <c r="Q17" i="4" s="1"/>
  <c r="P13" i="4"/>
  <c r="P12" i="4"/>
  <c r="F12" i="4"/>
  <c r="P11" i="4"/>
  <c r="M11" i="4"/>
  <c r="M12" i="4" s="1"/>
  <c r="M13" i="4" s="1"/>
  <c r="M14" i="4" s="1"/>
  <c r="M15" i="4" s="1"/>
  <c r="M16" i="4" s="1"/>
  <c r="F11" i="4"/>
  <c r="C11" i="4"/>
  <c r="C12" i="4" s="1"/>
  <c r="C13" i="4" s="1"/>
  <c r="C14" i="4" s="1"/>
  <c r="C15" i="4" s="1"/>
  <c r="C16" i="4" s="1"/>
  <c r="J9" i="4"/>
  <c r="I9" i="4"/>
  <c r="H9" i="4"/>
  <c r="G9" i="4"/>
  <c r="M5" i="4"/>
  <c r="M6" i="4" s="1"/>
  <c r="M7" i="4" s="1"/>
  <c r="C5" i="4"/>
  <c r="C6" i="4" s="1"/>
  <c r="C7" i="4" s="1"/>
  <c r="T4" i="4"/>
  <c r="T9" i="4" s="1"/>
  <c r="S4" i="4"/>
  <c r="S9" i="4" s="1"/>
  <c r="R4" i="4"/>
  <c r="R9" i="4" s="1"/>
  <c r="Q4" i="4"/>
  <c r="Q9" i="4" s="1"/>
  <c r="P4" i="4"/>
  <c r="F4" i="4"/>
  <c r="T1" i="5" l="1"/>
  <c r="F9" i="4"/>
  <c r="F17" i="4"/>
  <c r="P17" i="4"/>
  <c r="P9" i="4"/>
  <c r="T1" i="4" l="1"/>
  <c r="Q51" i="2" l="1"/>
  <c r="G51" i="2"/>
  <c r="S49" i="2"/>
  <c r="O49" i="2"/>
  <c r="N49" i="2"/>
  <c r="M49" i="2"/>
  <c r="I49" i="2"/>
  <c r="J49" i="2" s="1"/>
  <c r="E49" i="2"/>
  <c r="D49" i="2"/>
  <c r="C49" i="2"/>
  <c r="S48" i="2"/>
  <c r="O48" i="2"/>
  <c r="O51" i="2" s="1"/>
  <c r="N48" i="2"/>
  <c r="M48" i="2"/>
  <c r="L48" i="2"/>
  <c r="R48" i="2" s="1"/>
  <c r="K48" i="2"/>
  <c r="K49" i="2" s="1"/>
  <c r="I48" i="2"/>
  <c r="J48" i="2" s="1"/>
  <c r="E48" i="2"/>
  <c r="D48" i="2"/>
  <c r="C48" i="2"/>
  <c r="B48" i="2"/>
  <c r="B49" i="2" s="1"/>
  <c r="H49" i="2" s="1"/>
  <c r="A48" i="2"/>
  <c r="A49" i="2" s="1"/>
  <c r="L47" i="2"/>
  <c r="B47" i="2"/>
  <c r="G46" i="2"/>
  <c r="S44" i="2"/>
  <c r="O44" i="2"/>
  <c r="N44" i="2"/>
  <c r="M44" i="2"/>
  <c r="I44" i="2"/>
  <c r="E44" i="2"/>
  <c r="D44" i="2"/>
  <c r="C44" i="2"/>
  <c r="S43" i="2"/>
  <c r="O43" i="2"/>
  <c r="N43" i="2"/>
  <c r="M43" i="2"/>
  <c r="I43" i="2"/>
  <c r="E43" i="2"/>
  <c r="D43" i="2"/>
  <c r="C43" i="2"/>
  <c r="S42" i="2"/>
  <c r="O42" i="2"/>
  <c r="N42" i="2"/>
  <c r="M42" i="2"/>
  <c r="K42" i="2"/>
  <c r="K43" i="2" s="1"/>
  <c r="K44" i="2" s="1"/>
  <c r="I42" i="2"/>
  <c r="E42" i="2"/>
  <c r="D42" i="2"/>
  <c r="C42" i="2"/>
  <c r="S41" i="2"/>
  <c r="Q41" i="2"/>
  <c r="O41" i="2" s="1"/>
  <c r="N41" i="2"/>
  <c r="M41" i="2"/>
  <c r="I41" i="2"/>
  <c r="E41" i="2"/>
  <c r="D41" i="2"/>
  <c r="C41" i="2"/>
  <c r="O40" i="2"/>
  <c r="N40" i="2"/>
  <c r="M40" i="2"/>
  <c r="E40" i="2"/>
  <c r="D40" i="2"/>
  <c r="C40" i="2"/>
  <c r="Q39" i="2"/>
  <c r="O39" i="2"/>
  <c r="N39" i="2"/>
  <c r="M39" i="2"/>
  <c r="K39" i="2"/>
  <c r="K40" i="2" s="1"/>
  <c r="K41" i="2" s="1"/>
  <c r="I39" i="2"/>
  <c r="E39" i="2"/>
  <c r="D39" i="2"/>
  <c r="C39" i="2"/>
  <c r="A39" i="2"/>
  <c r="A40" i="2" s="1"/>
  <c r="A41" i="2" s="1"/>
  <c r="A42" i="2" s="1"/>
  <c r="A43" i="2" s="1"/>
  <c r="A44" i="2" s="1"/>
  <c r="S38" i="2"/>
  <c r="O38" i="2"/>
  <c r="N38" i="2"/>
  <c r="M38" i="2"/>
  <c r="L38" i="2"/>
  <c r="I38" i="2"/>
  <c r="E38" i="2"/>
  <c r="D38" i="2"/>
  <c r="C38" i="2"/>
  <c r="B38" i="2"/>
  <c r="H38" i="2" s="1"/>
  <c r="L37" i="2"/>
  <c r="B37" i="2"/>
  <c r="G36" i="2"/>
  <c r="S34" i="2"/>
  <c r="O34" i="2"/>
  <c r="N34" i="2"/>
  <c r="M34" i="2"/>
  <c r="I34" i="2"/>
  <c r="E34" i="2"/>
  <c r="D34" i="2"/>
  <c r="C34" i="2"/>
  <c r="S33" i="2"/>
  <c r="O33" i="2"/>
  <c r="N33" i="2"/>
  <c r="M33" i="2"/>
  <c r="I33" i="2"/>
  <c r="E33" i="2"/>
  <c r="D33" i="2"/>
  <c r="C33" i="2"/>
  <c r="S32" i="2"/>
  <c r="O32" i="2"/>
  <c r="N32" i="2"/>
  <c r="M32" i="2"/>
  <c r="I32" i="2"/>
  <c r="E32" i="2"/>
  <c r="D32" i="2"/>
  <c r="C32" i="2"/>
  <c r="A32" i="2"/>
  <c r="A33" i="2" s="1"/>
  <c r="A34" i="2" s="1"/>
  <c r="S31" i="2"/>
  <c r="O31" i="2"/>
  <c r="N31" i="2"/>
  <c r="M31" i="2"/>
  <c r="K31" i="2"/>
  <c r="K32" i="2" s="1"/>
  <c r="K33" i="2" s="1"/>
  <c r="K34" i="2" s="1"/>
  <c r="I31" i="2"/>
  <c r="E31" i="2"/>
  <c r="D31" i="2"/>
  <c r="C31" i="2"/>
  <c r="A31" i="2"/>
  <c r="Q30" i="2"/>
  <c r="O30" i="2"/>
  <c r="P30" i="2" s="1"/>
  <c r="N30" i="2"/>
  <c r="M30" i="2"/>
  <c r="L30" i="2"/>
  <c r="L31" i="2" s="1"/>
  <c r="R31" i="2" s="1"/>
  <c r="I30" i="2"/>
  <c r="E30" i="2"/>
  <c r="D30" i="2"/>
  <c r="C30" i="2"/>
  <c r="B30" i="2"/>
  <c r="B31" i="2" s="1"/>
  <c r="B32" i="2" s="1"/>
  <c r="B33" i="2" s="1"/>
  <c r="B34" i="2" s="1"/>
  <c r="J34" i="2" s="1"/>
  <c r="L29" i="2"/>
  <c r="B29" i="2"/>
  <c r="R25" i="2"/>
  <c r="T20" i="2"/>
  <c r="S20" i="2"/>
  <c r="R20" i="2"/>
  <c r="Q20" i="2"/>
  <c r="P20" i="2"/>
  <c r="S51" i="2" s="1"/>
  <c r="T51" i="2" s="1"/>
  <c r="J20" i="2"/>
  <c r="I20" i="2"/>
  <c r="H20" i="2"/>
  <c r="G20" i="2"/>
  <c r="F20" i="2"/>
  <c r="I51" i="2" s="1"/>
  <c r="J51" i="2" s="1"/>
  <c r="M19" i="2"/>
  <c r="C19" i="2"/>
  <c r="T16" i="2"/>
  <c r="S16" i="2"/>
  <c r="R16" i="2"/>
  <c r="Q16" i="2"/>
  <c r="J16" i="2"/>
  <c r="I16" i="2"/>
  <c r="H16" i="2"/>
  <c r="G16" i="2"/>
  <c r="T15" i="2"/>
  <c r="S15" i="2"/>
  <c r="R15" i="2"/>
  <c r="Q15" i="2"/>
  <c r="J15" i="2"/>
  <c r="J17" i="2" s="1"/>
  <c r="I15" i="2"/>
  <c r="I17" i="2" s="1"/>
  <c r="H15" i="2"/>
  <c r="H17" i="2" s="1"/>
  <c r="G15" i="2"/>
  <c r="G17" i="2" s="1"/>
  <c r="T13" i="2"/>
  <c r="S13" i="2"/>
  <c r="R13" i="2"/>
  <c r="Q13" i="2"/>
  <c r="P12" i="2"/>
  <c r="S40" i="2" s="1"/>
  <c r="F12" i="2"/>
  <c r="T11" i="2"/>
  <c r="T17" i="2" s="1"/>
  <c r="S11" i="2"/>
  <c r="S17" i="2" s="1"/>
  <c r="R11" i="2"/>
  <c r="R17" i="2" s="1"/>
  <c r="Q11" i="2"/>
  <c r="Q17" i="2" s="1"/>
  <c r="P11" i="2"/>
  <c r="P17" i="2" s="1"/>
  <c r="S46" i="2" s="1"/>
  <c r="M11" i="2"/>
  <c r="M12" i="2" s="1"/>
  <c r="M13" i="2" s="1"/>
  <c r="M14" i="2" s="1"/>
  <c r="M15" i="2" s="1"/>
  <c r="M16" i="2" s="1"/>
  <c r="C11" i="2"/>
  <c r="C12" i="2" s="1"/>
  <c r="C13" i="2" s="1"/>
  <c r="C14" i="2" s="1"/>
  <c r="C15" i="2" s="1"/>
  <c r="C16" i="2" s="1"/>
  <c r="J9" i="2"/>
  <c r="I9" i="2"/>
  <c r="H9" i="2"/>
  <c r="G9" i="2"/>
  <c r="F9" i="2"/>
  <c r="I36" i="2" s="1"/>
  <c r="M5" i="2"/>
  <c r="M6" i="2" s="1"/>
  <c r="C5" i="2"/>
  <c r="C6" i="2" s="1"/>
  <c r="C7" i="2" s="1"/>
  <c r="C8" i="2" s="1"/>
  <c r="T4" i="2"/>
  <c r="T9" i="2" s="1"/>
  <c r="S4" i="2"/>
  <c r="S9" i="2" s="1"/>
  <c r="R4" i="2"/>
  <c r="R9" i="2" s="1"/>
  <c r="Q4" i="2"/>
  <c r="Q9" i="2" s="1"/>
  <c r="P4" i="2"/>
  <c r="P9" i="2" s="1"/>
  <c r="S36" i="2" s="1"/>
  <c r="I25" i="2"/>
  <c r="H30" i="2" l="1"/>
  <c r="J30" i="2"/>
  <c r="S30" i="2"/>
  <c r="T30" i="2" s="1"/>
  <c r="J38" i="2"/>
  <c r="S39" i="2"/>
  <c r="F30" i="2"/>
  <c r="R30" i="2"/>
  <c r="T31" i="2"/>
  <c r="G52" i="2"/>
  <c r="T38" i="2"/>
  <c r="H48" i="2"/>
  <c r="T48" i="2"/>
  <c r="T36" i="2"/>
  <c r="S52" i="2"/>
  <c r="M8" i="2"/>
  <c r="M7" i="2"/>
  <c r="J36" i="2"/>
  <c r="I40" i="2"/>
  <c r="F17" i="2"/>
  <c r="I46" i="2" s="1"/>
  <c r="F31" i="2"/>
  <c r="H32" i="2"/>
  <c r="J32" i="2"/>
  <c r="H33" i="2"/>
  <c r="J33" i="2"/>
  <c r="H34" i="2"/>
  <c r="O36" i="2"/>
  <c r="F48" i="2"/>
  <c r="E51" i="2"/>
  <c r="T1" i="2"/>
  <c r="S25" i="2" s="1"/>
  <c r="H31" i="2"/>
  <c r="H36" i="2" s="1"/>
  <c r="J31" i="2"/>
  <c r="P31" i="2"/>
  <c r="F32" i="2"/>
  <c r="L32" i="2"/>
  <c r="F33" i="2"/>
  <c r="F34" i="2"/>
  <c r="E36" i="2"/>
  <c r="Q36" i="2"/>
  <c r="F38" i="2"/>
  <c r="L39" i="2"/>
  <c r="L40" i="2" s="1"/>
  <c r="R38" i="2"/>
  <c r="P38" i="2"/>
  <c r="B39" i="2"/>
  <c r="Q46" i="2"/>
  <c r="E46" i="2"/>
  <c r="O46" i="2"/>
  <c r="H51" i="2"/>
  <c r="P48" i="2"/>
  <c r="F49" i="2"/>
  <c r="L49" i="2"/>
  <c r="P39" i="2" l="1"/>
  <c r="R39" i="2"/>
  <c r="F36" i="2"/>
  <c r="E52" i="2"/>
  <c r="R32" i="2"/>
  <c r="L33" i="2"/>
  <c r="P32" i="2"/>
  <c r="F51" i="2"/>
  <c r="R49" i="2"/>
  <c r="R51" i="2" s="1"/>
  <c r="P49" i="2"/>
  <c r="P51" i="2" s="1"/>
  <c r="T49" i="2"/>
  <c r="B40" i="2"/>
  <c r="H39" i="2"/>
  <c r="F39" i="2"/>
  <c r="R40" i="2"/>
  <c r="L41" i="2"/>
  <c r="P40" i="2"/>
  <c r="Q52" i="2"/>
  <c r="T40" i="2"/>
  <c r="T39" i="2"/>
  <c r="J39" i="2"/>
  <c r="O52" i="2"/>
  <c r="T32" i="2"/>
  <c r="I52" i="2"/>
  <c r="I53" i="2" s="1"/>
  <c r="T52" i="2"/>
  <c r="T46" i="2"/>
  <c r="B41" i="2" l="1"/>
  <c r="H40" i="2"/>
  <c r="F40" i="2"/>
  <c r="R33" i="2"/>
  <c r="L34" i="2"/>
  <c r="P33" i="2"/>
  <c r="T33" i="2"/>
  <c r="J40" i="2"/>
  <c r="L42" i="2"/>
  <c r="T41" i="2"/>
  <c r="R41" i="2"/>
  <c r="P41" i="2"/>
  <c r="J46" i="2"/>
  <c r="J52" i="2" s="1"/>
  <c r="L43" i="2" l="1"/>
  <c r="T42" i="2"/>
  <c r="R42" i="2"/>
  <c r="P42" i="2"/>
  <c r="R34" i="2"/>
  <c r="R36" i="2" s="1"/>
  <c r="P34" i="2"/>
  <c r="P36" i="2" s="1"/>
  <c r="T34" i="2"/>
  <c r="J41" i="2"/>
  <c r="H41" i="2"/>
  <c r="B42" i="2"/>
  <c r="F41" i="2"/>
  <c r="H42" i="2" l="1"/>
  <c r="B43" i="2"/>
  <c r="F42" i="2"/>
  <c r="J42" i="2"/>
  <c r="L44" i="2"/>
  <c r="T43" i="2"/>
  <c r="R43" i="2"/>
  <c r="P43" i="2"/>
  <c r="T44" i="2" l="1"/>
  <c r="R44" i="2"/>
  <c r="R46" i="2" s="1"/>
  <c r="R52" i="2" s="1"/>
  <c r="P44" i="2"/>
  <c r="P46" i="2" s="1"/>
  <c r="P52" i="2" s="1"/>
  <c r="H43" i="2"/>
  <c r="F43" i="2"/>
  <c r="B44" i="2"/>
  <c r="J43" i="2"/>
  <c r="H44" i="2" l="1"/>
  <c r="H46" i="2" s="1"/>
  <c r="H52" i="2" s="1"/>
  <c r="F44" i="2"/>
  <c r="F46" i="2" s="1"/>
  <c r="F52" i="2" s="1"/>
  <c r="J44" i="2"/>
</calcChain>
</file>

<file path=xl/sharedStrings.xml><?xml version="1.0" encoding="utf-8"?>
<sst xmlns="http://schemas.openxmlformats.org/spreadsheetml/2006/main" count="969" uniqueCount="132">
  <si>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</si>
  <si>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</si>
  <si>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</si>
  <si>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</si>
  <si>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</si>
  <si>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</si>
  <si>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</si>
  <si>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</si>
  <si>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Кол-во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</si>
  <si>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</si>
  <si>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</si>
  <si>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</si>
  <si>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</si>
  <si>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</si>
  <si>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</si>
  <si>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</si>
  <si>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</si>
  <si>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</si>
  <si>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Каша молочная манная</t>
  </si>
  <si>
    <t>1/200</t>
  </si>
  <si>
    <t>Каша молочная манная с м/сл</t>
  </si>
  <si>
    <t>220/10</t>
  </si>
  <si>
    <t>напиток</t>
  </si>
  <si>
    <t xml:space="preserve">Чай с сахаром </t>
  </si>
  <si>
    <t>хлеб</t>
  </si>
  <si>
    <t>Батон</t>
  </si>
  <si>
    <t>1/30</t>
  </si>
  <si>
    <t>масло</t>
  </si>
  <si>
    <t>Масло сливочное</t>
  </si>
  <si>
    <t>1/10</t>
  </si>
  <si>
    <t>сыр</t>
  </si>
  <si>
    <t>Сыр</t>
  </si>
  <si>
    <t>Итого:</t>
  </si>
  <si>
    <t>Обед</t>
  </si>
  <si>
    <t>салат</t>
  </si>
  <si>
    <t>Огурцы свежие</t>
  </si>
  <si>
    <t>0,015</t>
  </si>
  <si>
    <t>1 блюдо</t>
  </si>
  <si>
    <t>Суп овощной с курицей</t>
  </si>
  <si>
    <t>250/15</t>
  </si>
  <si>
    <t>250/25</t>
  </si>
  <si>
    <t>2 блюдо</t>
  </si>
  <si>
    <t>Тефтели мясные с соусом</t>
  </si>
  <si>
    <t>75/50</t>
  </si>
  <si>
    <t>гарнир</t>
  </si>
  <si>
    <t>Макаронные изделия отварные</t>
  </si>
  <si>
    <t>1/150</t>
  </si>
  <si>
    <t>1/180</t>
  </si>
  <si>
    <t>Компот из сухофруктов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</si>
  <si>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</si>
  <si>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</si>
  <si>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</si>
  <si>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</si>
  <si>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</si>
  <si>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</si>
  <si>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Сок фруктовый</t>
  </si>
  <si>
    <t>Сок 0,2</t>
  </si>
  <si>
    <t>1 шт</t>
  </si>
  <si>
    <t>выпечка</t>
  </si>
  <si>
    <t>Печенье весовое</t>
  </si>
  <si>
    <t>1/50</t>
  </si>
  <si>
    <t>Бухгалтер</t>
  </si>
  <si>
    <t>Гудым Д.С.</t>
  </si>
  <si>
    <t>Зав.производством</t>
  </si>
  <si>
    <t>Мустафаева Н.В.</t>
  </si>
  <si>
    <t>Организация: АО "Столовая № 5"</t>
  </si>
  <si>
    <t xml:space="preserve">НАКЛАДНАЯ № </t>
  </si>
  <si>
    <t>Отправитель: Центральное производство</t>
  </si>
  <si>
    <t>Получатель: КГОБУ "Петропавловск-Камчатская школа № 2"</t>
  </si>
  <si>
    <t>№</t>
  </si>
  <si>
    <t>выход, г</t>
  </si>
  <si>
    <t>Наименование</t>
  </si>
  <si>
    <t>Цена Закуп</t>
  </si>
  <si>
    <t>Сумма</t>
  </si>
  <si>
    <t>Цена Производственная</t>
  </si>
  <si>
    <t>Цена Продажная</t>
  </si>
  <si>
    <t>Итого</t>
  </si>
  <si>
    <t>приготовлено 12:30</t>
  </si>
  <si>
    <t>ВСЕГО:</t>
  </si>
  <si>
    <t>Суточная проба</t>
  </si>
  <si>
    <t>Отпустил:</t>
  </si>
  <si>
    <t>Получил:</t>
  </si>
  <si>
    <t>2712</t>
  </si>
  <si>
    <t>Каша молочная ячневая</t>
  </si>
  <si>
    <t>Каша молочная ячневая с м/сл</t>
  </si>
  <si>
    <t>Напиток кофейный на молоке</t>
  </si>
  <si>
    <t>Салат Минутка</t>
  </si>
  <si>
    <t>Суп гороховый с курицей</t>
  </si>
  <si>
    <t>200/10</t>
  </si>
  <si>
    <t>200/15</t>
  </si>
  <si>
    <t>Поджарка мясная</t>
  </si>
  <si>
    <t>38/38</t>
  </si>
  <si>
    <t>Каша гречневая рассыпчатая</t>
  </si>
  <si>
    <t>Кольцо песочное</t>
  </si>
  <si>
    <t>Каша молочная геркулесовая</t>
  </si>
  <si>
    <t>Каша молочная геркулесовая с м/сл</t>
  </si>
  <si>
    <t>Огурцы консервированные</t>
  </si>
  <si>
    <t>1/25</t>
  </si>
  <si>
    <t>Суп картофельный с рыбными консервами</t>
  </si>
  <si>
    <t>Плов со свининой</t>
  </si>
  <si>
    <t>1/250</t>
  </si>
  <si>
    <t>Кефир</t>
  </si>
  <si>
    <t>Кекс творожный</t>
  </si>
  <si>
    <t>мармелад</t>
  </si>
  <si>
    <t>Мармелад</t>
  </si>
  <si>
    <t>Каша молочная пшенная</t>
  </si>
  <si>
    <t>Каша молочная пшенная с м/сл</t>
  </si>
  <si>
    <t>Помидоры консервированные</t>
  </si>
  <si>
    <t>Рассольник "Ленинградский" с курицей</t>
  </si>
  <si>
    <t>Курица отварная</t>
  </si>
  <si>
    <t>1/100</t>
  </si>
  <si>
    <t>Булочка с маком</t>
  </si>
  <si>
    <t>07,09,2021</t>
  </si>
  <si>
    <t>Каша молочная кукурузная</t>
  </si>
  <si>
    <t>Каша молочная кукурузная с м/сл</t>
  </si>
  <si>
    <t>Какао с молоком</t>
  </si>
  <si>
    <t>Салат из свежей капусты с зеленым горошком</t>
  </si>
  <si>
    <t>Борщ из свежей капусты, с курицей</t>
  </si>
  <si>
    <t>Сардельки отварные</t>
  </si>
  <si>
    <t>1/75</t>
  </si>
  <si>
    <t>Булочка "Юность"</t>
  </si>
  <si>
    <t>Каша молочная гречневая</t>
  </si>
  <si>
    <t>Каша молочная гречневая с м/сл</t>
  </si>
  <si>
    <t>Суп картофельный с макаронными изделиями, с курицей</t>
  </si>
  <si>
    <t>Тефтели куриные с соусом</t>
  </si>
  <si>
    <t>Рис отварной</t>
  </si>
  <si>
    <t>Рогалик с маком</t>
  </si>
  <si>
    <t>Салат из моркови с р/м</t>
  </si>
  <si>
    <t>Щи из свежей капусты с курицей</t>
  </si>
  <si>
    <t>Печень тушеная в соусе</t>
  </si>
  <si>
    <t>50/50</t>
  </si>
  <si>
    <t>Пирог открытый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</si>
</sst>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8" fillId="0" borderId="0"/>
    <xf numFmtId="0" fontId="13" fillId="0" borderId="0"/>
    <xf numFmtId="0" fontId="1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9">
    <xf numFmtId="0" fontId="0" fillId="0" borderId="0" xfId="0"/>
    <xf numFmtId="0" fontId="9" fillId="0" borderId="0" xfId="0" applyFont="1" applyFill="1"/>
    <xf numFmtId="0" fontId="9" fillId="0" borderId="4" xfId="0" applyFont="1" applyFill="1" applyBorder="1"/>
    <xf numFmtId="14" fontId="9" fillId="0" borderId="4" xfId="0" applyNumberFormat="1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8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10" fillId="0" borderId="13" xfId="0" applyFont="1" applyFill="1" applyBorder="1" applyAlignment="1" applyProtection="1">
      <alignment horizontal="center"/>
      <protection locked="0"/>
    </xf>
    <xf numFmtId="0" fontId="11" fillId="0" borderId="12" xfId="1" applyFont="1" applyFill="1" applyBorder="1" applyAlignment="1">
      <alignment horizontal="left" vertical="center" wrapText="1"/>
    </xf>
    <xf numFmtId="49" fontId="11" fillId="0" borderId="12" xfId="1" applyNumberFormat="1" applyFont="1" applyFill="1" applyBorder="1" applyAlignment="1">
      <alignment horizontal="center" vertical="center" wrapText="1"/>
    </xf>
    <xf numFmtId="4" fontId="12" fillId="0" borderId="12" xfId="1" applyNumberFormat="1" applyFont="1" applyFill="1" applyBorder="1" applyAlignment="1">
      <alignment horizontal="center" vertical="center" wrapText="1"/>
    </xf>
    <xf numFmtId="4" fontId="11" fillId="0" borderId="12" xfId="1" applyNumberFormat="1" applyFont="1" applyBorder="1" applyAlignment="1">
      <alignment horizontal="center" vertical="center" wrapText="1"/>
    </xf>
    <xf numFmtId="4" fontId="11" fillId="0" borderId="14" xfId="1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/>
      <protection locked="0"/>
    </xf>
    <xf numFmtId="0" fontId="11" fillId="0" borderId="4" xfId="1" applyFont="1" applyFill="1" applyBorder="1" applyAlignment="1">
      <alignment horizontal="left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4" fontId="12" fillId="0" borderId="4" xfId="1" applyNumberFormat="1" applyFont="1" applyFill="1" applyBorder="1" applyAlignment="1">
      <alignment horizontal="center" vertical="center" wrapText="1"/>
    </xf>
    <xf numFmtId="4" fontId="11" fillId="0" borderId="4" xfId="1" applyNumberFormat="1" applyFont="1" applyBorder="1" applyAlignment="1">
      <alignment horizontal="center" vertical="center" wrapText="1"/>
    </xf>
    <xf numFmtId="4" fontId="11" fillId="0" borderId="15" xfId="1" applyNumberFormat="1" applyFont="1" applyBorder="1" applyAlignment="1">
      <alignment horizontal="center" vertical="center" wrapText="1"/>
    </xf>
    <xf numFmtId="4" fontId="11" fillId="0" borderId="4" xfId="1" applyNumberFormat="1" applyFont="1" applyFill="1" applyBorder="1" applyAlignment="1">
      <alignment horizontal="center" vertical="center" wrapText="1"/>
    </xf>
    <xf numFmtId="4" fontId="11" fillId="0" borderId="15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Protection="1">
      <protection locked="0"/>
    </xf>
    <xf numFmtId="0" fontId="9" fillId="0" borderId="16" xfId="0" applyFont="1" applyFill="1" applyBorder="1"/>
    <xf numFmtId="0" fontId="9" fillId="0" borderId="17" xfId="0" applyFont="1" applyFill="1" applyBorder="1" applyProtection="1"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11" fillId="0" borderId="17" xfId="1" applyFont="1" applyFill="1" applyBorder="1" applyAlignment="1">
      <alignment horizontal="left" vertical="center" wrapText="1"/>
    </xf>
    <xf numFmtId="49" fontId="11" fillId="0" borderId="17" xfId="1" applyNumberFormat="1" applyFont="1" applyFill="1" applyBorder="1" applyAlignment="1">
      <alignment horizontal="center" vertical="center" wrapText="1"/>
    </xf>
    <xf numFmtId="2" fontId="14" fillId="0" borderId="17" xfId="2" applyNumberFormat="1" applyFont="1" applyFill="1" applyBorder="1" applyAlignment="1" applyProtection="1">
      <alignment horizontal="center" vertical="center" wrapText="1"/>
      <protection locked="0"/>
    </xf>
    <xf numFmtId="4" fontId="11" fillId="0" borderId="17" xfId="1" applyNumberFormat="1" applyFont="1" applyFill="1" applyBorder="1" applyAlignment="1">
      <alignment horizontal="center" vertical="center" wrapText="1"/>
    </xf>
    <xf numFmtId="4" fontId="11" fillId="0" borderId="19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2" fontId="9" fillId="0" borderId="6" xfId="0" applyNumberFormat="1" applyFont="1" applyFill="1" applyBorder="1" applyAlignment="1" applyProtection="1">
      <alignment horizontal="center" vertical="center"/>
      <protection locked="0"/>
    </xf>
    <xf numFmtId="2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vertical="center"/>
    </xf>
    <xf numFmtId="0" fontId="15" fillId="0" borderId="4" xfId="2" applyFont="1" applyFill="1" applyBorder="1" applyAlignment="1" applyProtection="1">
      <alignment vertical="center"/>
      <protection locked="0"/>
    </xf>
    <xf numFmtId="0" fontId="9" fillId="0" borderId="17" xfId="0" applyFont="1" applyFill="1" applyBorder="1"/>
    <xf numFmtId="4" fontId="12" fillId="0" borderId="17" xfId="1" applyNumberFormat="1" applyFont="1" applyFill="1" applyBorder="1" applyAlignment="1">
      <alignment horizontal="center" vertical="center" wrapText="1"/>
    </xf>
    <xf numFmtId="0" fontId="15" fillId="0" borderId="12" xfId="2" applyFont="1" applyFill="1" applyBorder="1" applyAlignment="1" applyProtection="1">
      <alignment vertical="center" wrapText="1"/>
      <protection locked="0"/>
    </xf>
    <xf numFmtId="49" fontId="11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2" applyFont="1" applyFill="1" applyBorder="1" applyAlignment="1" applyProtection="1">
      <alignment vertical="center" wrapText="1"/>
      <protection locked="0"/>
    </xf>
    <xf numFmtId="49" fontId="11" fillId="0" borderId="17" xfId="2" applyNumberFormat="1" applyFont="1" applyFill="1" applyBorder="1" applyAlignment="1" applyProtection="1">
      <alignment horizontal="center" vertical="center" wrapText="1"/>
      <protection locked="0"/>
    </xf>
    <xf numFmtId="4" fontId="11" fillId="0" borderId="17" xfId="1" applyNumberFormat="1" applyFont="1" applyBorder="1" applyAlignment="1">
      <alignment horizontal="center" vertical="center" wrapText="1"/>
    </xf>
    <xf numFmtId="4" fontId="11" fillId="0" borderId="19" xfId="1" applyNumberFormat="1" applyFont="1" applyBorder="1" applyAlignment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2" fontId="9" fillId="0" borderId="25" xfId="0" applyNumberFormat="1" applyFont="1" applyFill="1" applyBorder="1" applyAlignment="1" applyProtection="1">
      <alignment horizontal="center" vertical="center"/>
      <protection locked="0"/>
    </xf>
    <xf numFmtId="2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5" fillId="0" borderId="0" xfId="3" applyNumberFormat="1" applyFont="1" applyBorder="1" applyAlignment="1">
      <alignment horizontal="right" vertical="center"/>
    </xf>
    <xf numFmtId="0" fontId="15" fillId="0" borderId="0" xfId="3" applyNumberFormat="1" applyFont="1" applyBorder="1" applyAlignment="1">
      <alignment horizontal="center" vertical="center"/>
    </xf>
    <xf numFmtId="0" fontId="15" fillId="0" borderId="0" xfId="3" applyNumberFormat="1" applyFont="1" applyBorder="1" applyAlignment="1">
      <alignment vertical="center"/>
    </xf>
    <xf numFmtId="0" fontId="15" fillId="0" borderId="0" xfId="3" applyNumberFormat="1" applyFont="1" applyFill="1" applyBorder="1" applyAlignment="1">
      <alignment vertical="center"/>
    </xf>
    <xf numFmtId="0" fontId="15" fillId="0" borderId="0" xfId="3" applyNumberFormat="1" applyFont="1" applyFill="1" applyBorder="1" applyAlignment="1">
      <alignment horizontal="right" vertical="center"/>
    </xf>
    <xf numFmtId="0" fontId="15" fillId="0" borderId="0" xfId="3" applyNumberFormat="1" applyFont="1" applyFill="1" applyBorder="1" applyAlignment="1">
      <alignment horizontal="center" vertical="center"/>
    </xf>
    <xf numFmtId="0" fontId="15" fillId="0" borderId="0" xfId="4" applyNumberFormat="1" applyFont="1" applyFill="1" applyBorder="1" applyAlignment="1" applyProtection="1">
      <alignment vertical="center"/>
    </xf>
    <xf numFmtId="0" fontId="15" fillId="0" borderId="0" xfId="4" applyNumberFormat="1" applyFont="1" applyFill="1" applyBorder="1" applyAlignment="1" applyProtection="1">
      <alignment horizontal="left" vertical="center"/>
    </xf>
    <xf numFmtId="0" fontId="17" fillId="0" borderId="0" xfId="4" applyNumberFormat="1" applyFont="1" applyFill="1" applyBorder="1" applyAlignment="1" applyProtection="1">
      <alignment horizontal="left" vertical="center"/>
    </xf>
    <xf numFmtId="0" fontId="17" fillId="0" borderId="0" xfId="4" applyNumberFormat="1" applyFont="1" applyFill="1" applyBorder="1" applyAlignment="1" applyProtection="1">
      <alignment horizontal="center" vertical="center"/>
    </xf>
    <xf numFmtId="49" fontId="17" fillId="0" borderId="0" xfId="4" applyNumberFormat="1" applyFont="1" applyFill="1" applyBorder="1" applyAlignment="1" applyProtection="1">
      <alignment horizontal="center" vertical="center"/>
    </xf>
    <xf numFmtId="14" fontId="17" fillId="0" borderId="0" xfId="4" applyNumberFormat="1" applyFont="1" applyFill="1" applyBorder="1" applyAlignment="1" applyProtection="1">
      <alignment horizontal="center" vertical="center"/>
    </xf>
    <xf numFmtId="0" fontId="15" fillId="0" borderId="0" xfId="4" applyNumberFormat="1" applyFont="1" applyFill="1" applyBorder="1" applyAlignment="1" applyProtection="1">
      <alignment horizontal="center" vertical="center"/>
    </xf>
    <xf numFmtId="0" fontId="17" fillId="0" borderId="0" xfId="4" applyNumberFormat="1" applyFont="1" applyFill="1" applyBorder="1" applyAlignment="1" applyProtection="1">
      <alignment vertical="center"/>
    </xf>
    <xf numFmtId="0" fontId="18" fillId="0" borderId="5" xfId="4" applyNumberFormat="1" applyFont="1" applyBorder="1" applyAlignment="1" applyProtection="1">
      <alignment horizontal="center" vertical="center" wrapText="1"/>
    </xf>
    <xf numFmtId="0" fontId="18" fillId="0" borderId="6" xfId="4" applyNumberFormat="1" applyFont="1" applyBorder="1" applyAlignment="1" applyProtection="1">
      <alignment horizontal="center" vertical="center" wrapText="1"/>
    </xf>
    <xf numFmtId="0" fontId="18" fillId="0" borderId="6" xfId="4" applyNumberFormat="1" applyFont="1" applyFill="1" applyBorder="1" applyAlignment="1" applyProtection="1">
      <alignment horizontal="center" vertical="center" wrapText="1"/>
    </xf>
    <xf numFmtId="0" fontId="18" fillId="0" borderId="7" xfId="4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20" fillId="0" borderId="27" xfId="4" applyNumberFormat="1" applyFont="1" applyBorder="1" applyAlignment="1" applyProtection="1">
      <alignment horizontal="center"/>
    </xf>
    <xf numFmtId="0" fontId="18" fillId="0" borderId="12" xfId="4" applyNumberFormat="1" applyFont="1" applyBorder="1" applyAlignment="1" applyProtection="1">
      <alignment horizontal="center"/>
    </xf>
    <xf numFmtId="0" fontId="21" fillId="0" borderId="12" xfId="4" applyNumberFormat="1" applyFont="1" applyBorder="1" applyAlignment="1" applyProtection="1"/>
    <xf numFmtId="0" fontId="21" fillId="0" borderId="12" xfId="4" applyNumberFormat="1" applyFont="1" applyFill="1" applyBorder="1" applyAlignment="1" applyProtection="1"/>
    <xf numFmtId="0" fontId="21" fillId="0" borderId="14" xfId="4" applyNumberFormat="1" applyFont="1" applyFill="1" applyBorder="1" applyAlignment="1" applyProtection="1"/>
    <xf numFmtId="0" fontId="20" fillId="0" borderId="28" xfId="4" applyNumberFormat="1" applyFont="1" applyFill="1" applyBorder="1" applyAlignment="1" applyProtection="1">
      <alignment horizontal="center"/>
    </xf>
    <xf numFmtId="0" fontId="20" fillId="0" borderId="4" xfId="4" applyNumberFormat="1" applyFont="1" applyFill="1" applyBorder="1" applyAlignment="1" applyProtection="1">
      <alignment horizontal="center" wrapText="1"/>
    </xf>
    <xf numFmtId="1" fontId="20" fillId="0" borderId="4" xfId="4" applyNumberFormat="1" applyFont="1" applyFill="1" applyBorder="1" applyAlignment="1" applyProtection="1">
      <alignment horizontal="center"/>
    </xf>
    <xf numFmtId="1" fontId="20" fillId="0" borderId="4" xfId="4" applyNumberFormat="1" applyFont="1" applyFill="1" applyBorder="1" applyAlignment="1" applyProtection="1">
      <alignment horizontal="left"/>
    </xf>
    <xf numFmtId="2" fontId="20" fillId="0" borderId="4" xfId="4" applyNumberFormat="1" applyFont="1" applyFill="1" applyBorder="1" applyAlignment="1" applyProtection="1">
      <alignment horizontal="center"/>
    </xf>
    <xf numFmtId="2" fontId="18" fillId="0" borderId="4" xfId="3" applyNumberFormat="1" applyFont="1" applyBorder="1" applyAlignment="1">
      <alignment horizontal="center" vertical="center"/>
    </xf>
    <xf numFmtId="2" fontId="20" fillId="0" borderId="15" xfId="4" applyNumberFormat="1" applyFont="1" applyFill="1" applyBorder="1" applyAlignment="1" applyProtection="1">
      <alignment horizontal="center"/>
    </xf>
    <xf numFmtId="0" fontId="20" fillId="0" borderId="28" xfId="4" applyNumberFormat="1" applyFont="1" applyFill="1" applyBorder="1" applyAlignment="1" applyProtection="1">
      <alignment horizontal="center" vertical="center"/>
    </xf>
    <xf numFmtId="2" fontId="18" fillId="0" borderId="4" xfId="3" applyNumberFormat="1" applyFont="1" applyFill="1" applyBorder="1" applyAlignment="1">
      <alignment horizontal="center" vertical="center"/>
    </xf>
    <xf numFmtId="0" fontId="20" fillId="0" borderId="4" xfId="4" applyNumberFormat="1" applyFont="1" applyFill="1" applyBorder="1" applyAlignment="1" applyProtection="1">
      <alignment horizontal="left" wrapText="1"/>
    </xf>
    <xf numFmtId="0" fontId="20" fillId="0" borderId="4" xfId="4" applyNumberFormat="1" applyFont="1" applyFill="1" applyBorder="1" applyAlignment="1" applyProtection="1">
      <alignment horizontal="center"/>
    </xf>
    <xf numFmtId="49" fontId="20" fillId="0" borderId="4" xfId="4" applyNumberFormat="1" applyFont="1" applyFill="1" applyBorder="1" applyAlignment="1" applyProtection="1">
      <alignment horizontal="center"/>
    </xf>
    <xf numFmtId="0" fontId="18" fillId="0" borderId="4" xfId="4" applyNumberFormat="1" applyFont="1" applyFill="1" applyBorder="1" applyAlignment="1" applyProtection="1">
      <alignment horizontal="right" wrapText="1"/>
    </xf>
    <xf numFmtId="0" fontId="18" fillId="0" borderId="4" xfId="4" applyNumberFormat="1" applyFont="1" applyFill="1" applyBorder="1" applyAlignment="1" applyProtection="1">
      <alignment horizontal="center"/>
    </xf>
    <xf numFmtId="2" fontId="18" fillId="0" borderId="4" xfId="4" applyNumberFormat="1" applyFont="1" applyFill="1" applyBorder="1" applyAlignment="1" applyProtection="1">
      <alignment horizontal="center"/>
    </xf>
    <xf numFmtId="2" fontId="18" fillId="0" borderId="15" xfId="4" applyNumberFormat="1" applyFont="1" applyFill="1" applyBorder="1" applyAlignment="1" applyProtection="1">
      <alignment horizontal="center"/>
    </xf>
    <xf numFmtId="0" fontId="21" fillId="0" borderId="4" xfId="4" applyNumberFormat="1" applyFont="1" applyFill="1" applyBorder="1" applyAlignment="1" applyProtection="1"/>
    <xf numFmtId="0" fontId="20" fillId="0" borderId="4" xfId="4" applyNumberFormat="1" applyFont="1" applyFill="1" applyBorder="1" applyAlignment="1" applyProtection="1"/>
    <xf numFmtId="0" fontId="20" fillId="0" borderId="4" xfId="4" applyNumberFormat="1" applyFont="1" applyFill="1" applyBorder="1" applyAlignment="1" applyProtection="1">
      <alignment horizontal="center" vertical="center" wrapText="1"/>
    </xf>
    <xf numFmtId="164" fontId="20" fillId="0" borderId="4" xfId="4" applyNumberFormat="1" applyFont="1" applyFill="1" applyBorder="1" applyAlignment="1" applyProtection="1">
      <alignment horizontal="center" vertical="center"/>
    </xf>
    <xf numFmtId="2" fontId="20" fillId="0" borderId="4" xfId="4" applyNumberFormat="1" applyFont="1" applyFill="1" applyBorder="1" applyAlignment="1" applyProtection="1">
      <alignment horizontal="left" vertical="center"/>
    </xf>
    <xf numFmtId="2" fontId="18" fillId="0" borderId="4" xfId="3" applyNumberFormat="1" applyFont="1" applyBorder="1" applyAlignment="1">
      <alignment horizontal="center" vertical="center" wrapText="1"/>
    </xf>
    <xf numFmtId="0" fontId="20" fillId="0" borderId="28" xfId="4" applyNumberFormat="1" applyFont="1" applyFill="1" applyBorder="1" applyAlignment="1" applyProtection="1"/>
    <xf numFmtId="0" fontId="20" fillId="0" borderId="29" xfId="4" applyNumberFormat="1" applyFont="1" applyBorder="1" applyAlignment="1" applyProtection="1"/>
    <xf numFmtId="0" fontId="18" fillId="0" borderId="17" xfId="4" applyNumberFormat="1" applyFont="1" applyFill="1" applyBorder="1" applyAlignment="1" applyProtection="1">
      <alignment horizontal="right" wrapText="1"/>
    </xf>
    <xf numFmtId="0" fontId="18" fillId="0" borderId="17" xfId="4" applyNumberFormat="1" applyFont="1" applyBorder="1" applyAlignment="1" applyProtection="1">
      <alignment horizontal="center"/>
    </xf>
    <xf numFmtId="2" fontId="18" fillId="0" borderId="17" xfId="4" applyNumberFormat="1" applyFont="1" applyFill="1" applyBorder="1" applyAlignment="1" applyProtection="1">
      <alignment horizontal="center"/>
    </xf>
    <xf numFmtId="2" fontId="18" fillId="0" borderId="19" xfId="4" applyNumberFormat="1" applyFont="1" applyFill="1" applyBorder="1" applyAlignment="1" applyProtection="1">
      <alignment horizontal="center"/>
    </xf>
    <xf numFmtId="0" fontId="20" fillId="0" borderId="30" xfId="4" applyNumberFormat="1" applyFont="1" applyBorder="1" applyAlignment="1" applyProtection="1"/>
    <xf numFmtId="0" fontId="18" fillId="0" borderId="9" xfId="4" applyNumberFormat="1" applyFont="1" applyBorder="1" applyAlignment="1" applyProtection="1">
      <alignment horizontal="right" wrapText="1"/>
    </xf>
    <xf numFmtId="0" fontId="20" fillId="0" borderId="9" xfId="4" applyNumberFormat="1" applyFont="1" applyBorder="1" applyAlignment="1" applyProtection="1">
      <alignment horizontal="center"/>
    </xf>
    <xf numFmtId="0" fontId="18" fillId="0" borderId="9" xfId="4" applyNumberFormat="1" applyFont="1" applyBorder="1" applyAlignment="1" applyProtection="1">
      <alignment horizontal="center" wrapText="1"/>
    </xf>
    <xf numFmtId="2" fontId="18" fillId="0" borderId="9" xfId="4" applyNumberFormat="1" applyFont="1" applyFill="1" applyBorder="1" applyAlignment="1" applyProtection="1">
      <alignment horizontal="center"/>
    </xf>
    <xf numFmtId="2" fontId="18" fillId="0" borderId="10" xfId="4" applyNumberFormat="1" applyFont="1" applyFill="1" applyBorder="1" applyAlignment="1" applyProtection="1">
      <alignment horizontal="center"/>
    </xf>
    <xf numFmtId="0" fontId="22" fillId="0" borderId="17" xfId="4" applyNumberFormat="1" applyFont="1" applyBorder="1" applyAlignment="1" applyProtection="1">
      <alignment horizontal="right"/>
    </xf>
    <xf numFmtId="0" fontId="21" fillId="0" borderId="17" xfId="4" applyNumberFormat="1" applyFont="1" applyBorder="1" applyAlignment="1" applyProtection="1"/>
    <xf numFmtId="0" fontId="22" fillId="0" borderId="17" xfId="4" applyNumberFormat="1" applyFont="1" applyBorder="1" applyAlignment="1" applyProtection="1">
      <alignment horizontal="center"/>
    </xf>
    <xf numFmtId="2" fontId="22" fillId="0" borderId="17" xfId="4" applyNumberFormat="1" applyFont="1" applyFill="1" applyBorder="1" applyAlignment="1" applyProtection="1">
      <alignment horizontal="center"/>
    </xf>
    <xf numFmtId="2" fontId="22" fillId="0" borderId="19" xfId="4" applyNumberFormat="1" applyFont="1" applyFill="1" applyBorder="1" applyAlignment="1" applyProtection="1">
      <alignment horizontal="center"/>
    </xf>
    <xf numFmtId="0" fontId="23" fillId="0" borderId="0" xfId="4" applyNumberFormat="1" applyFont="1" applyBorder="1" applyAlignment="1" applyProtection="1"/>
    <xf numFmtId="0" fontId="24" fillId="0" borderId="0" xfId="4" applyNumberFormat="1" applyFont="1" applyBorder="1" applyAlignment="1" applyProtection="1">
      <alignment horizontal="right"/>
    </xf>
    <xf numFmtId="0" fontId="25" fillId="0" borderId="0" xfId="4" applyNumberFormat="1" applyFont="1" applyBorder="1" applyAlignment="1" applyProtection="1"/>
    <xf numFmtId="0" fontId="24" fillId="0" borderId="0" xfId="4" applyNumberFormat="1" applyFont="1" applyBorder="1" applyAlignment="1" applyProtection="1">
      <alignment horizontal="center"/>
    </xf>
    <xf numFmtId="2" fontId="24" fillId="0" borderId="0" xfId="4" applyNumberFormat="1" applyFont="1" applyFill="1" applyBorder="1" applyAlignment="1" applyProtection="1">
      <alignment horizontal="center"/>
    </xf>
    <xf numFmtId="0" fontId="26" fillId="0" borderId="0" xfId="0" applyFont="1"/>
    <xf numFmtId="0" fontId="20" fillId="0" borderId="0" xfId="4" applyNumberFormat="1" applyFont="1" applyBorder="1" applyAlignment="1" applyProtection="1"/>
    <xf numFmtId="0" fontId="20" fillId="0" borderId="0" xfId="4" applyNumberFormat="1" applyFont="1" applyAlignment="1" applyProtection="1">
      <alignment horizontal="right" vertical="center"/>
    </xf>
    <xf numFmtId="0" fontId="20" fillId="0" borderId="31" xfId="4" applyNumberFormat="1" applyFont="1" applyBorder="1" applyAlignment="1" applyProtection="1">
      <alignment vertical="center"/>
    </xf>
    <xf numFmtId="0" fontId="20" fillId="0" borderId="0" xfId="4" applyNumberFormat="1" applyFont="1" applyFill="1" applyAlignment="1" applyProtection="1">
      <alignment vertical="center"/>
    </xf>
    <xf numFmtId="2" fontId="22" fillId="0" borderId="0" xfId="4" applyNumberFormat="1" applyFont="1" applyFill="1" applyBorder="1" applyAlignment="1" applyProtection="1">
      <alignment horizontal="center"/>
    </xf>
    <xf numFmtId="0" fontId="20" fillId="0" borderId="0" xfId="4" applyNumberFormat="1" applyFont="1" applyAlignment="1" applyProtection="1">
      <alignment vertical="center"/>
    </xf>
    <xf numFmtId="0" fontId="27" fillId="0" borderId="0" xfId="0" applyFont="1"/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2" fontId="14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Fill="1" applyBorder="1" applyAlignment="1" applyProtection="1">
      <alignment horizontal="center" vertical="center"/>
      <protection locked="0"/>
    </xf>
    <xf numFmtId="4" fontId="12" fillId="0" borderId="37" xfId="1" applyNumberFormat="1" applyFont="1" applyFill="1" applyBorder="1" applyAlignment="1">
      <alignment horizontal="center" vertical="center" wrapText="1"/>
    </xf>
    <xf numFmtId="2" fontId="9" fillId="0" borderId="33" xfId="0" applyNumberFormat="1" applyFont="1" applyFill="1" applyBorder="1" applyAlignment="1" applyProtection="1">
      <alignment horizontal="center" vertical="center"/>
      <protection locked="0"/>
    </xf>
    <xf numFmtId="2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49" fontId="9" fillId="0" borderId="39" xfId="0" applyNumberFormat="1" applyFont="1" applyFill="1" applyBorder="1" applyAlignment="1" applyProtection="1">
      <alignment horizontal="center" vertical="center"/>
      <protection locked="0"/>
    </xf>
    <xf numFmtId="4" fontId="12" fillId="0" borderId="39" xfId="1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 applyProtection="1">
      <alignment horizontal="center" vertical="center"/>
      <protection locked="0"/>
    </xf>
    <xf numFmtId="2" fontId="9" fillId="0" borderId="40" xfId="0" applyNumberFormat="1" applyFont="1" applyFill="1" applyBorder="1" applyAlignment="1" applyProtection="1">
      <alignment horizontal="center" vertical="center"/>
      <protection locked="0"/>
    </xf>
    <xf numFmtId="4" fontId="12" fillId="0" borderId="25" xfId="1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Border="1" applyAlignment="1" applyProtection="1">
      <alignment vertical="center"/>
    </xf>
    <xf numFmtId="0" fontId="20" fillId="0" borderId="0" xfId="5" applyNumberFormat="1" applyFont="1" applyBorder="1" applyAlignment="1" applyProtection="1"/>
    <xf numFmtId="2" fontId="22" fillId="0" borderId="0" xfId="5" applyNumberFormat="1" applyFont="1" applyFill="1" applyBorder="1" applyAlignment="1" applyProtection="1">
      <alignment horizontal="center"/>
    </xf>
    <xf numFmtId="0" fontId="20" fillId="0" borderId="0" xfId="5" applyNumberFormat="1" applyFont="1" applyBorder="1" applyAlignment="1" applyProtection="1">
      <alignment horizontal="right" vertical="center"/>
    </xf>
    <xf numFmtId="0" fontId="20" fillId="0" borderId="0" xfId="5" applyNumberFormat="1" applyFont="1" applyBorder="1" applyAlignment="1" applyProtection="1">
      <alignment vertical="center"/>
    </xf>
    <xf numFmtId="0" fontId="20" fillId="0" borderId="0" xfId="5" applyNumberFormat="1" applyFont="1" applyFill="1" applyBorder="1" applyAlignment="1" applyProtection="1">
      <alignment vertical="center"/>
    </xf>
    <xf numFmtId="0" fontId="19" fillId="0" borderId="0" xfId="0" applyFont="1" applyBorder="1"/>
    <xf numFmtId="0" fontId="0" fillId="0" borderId="0" xfId="0" applyBorder="1"/>
    <xf numFmtId="0" fontId="9" fillId="0" borderId="27" xfId="0" applyFont="1" applyFill="1" applyBorder="1" applyAlignment="1">
      <alignment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4" fontId="11" fillId="0" borderId="13" xfId="1" applyNumberFormat="1" applyFont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 applyProtection="1">
      <alignment horizontal="center" vertical="center"/>
      <protection locked="0"/>
    </xf>
    <xf numFmtId="4" fontId="11" fillId="0" borderId="1" xfId="1" applyNumberFormat="1" applyFont="1" applyFill="1" applyBorder="1" applyAlignment="1">
      <alignment horizontal="center" vertical="center" wrapText="1"/>
    </xf>
    <xf numFmtId="0" fontId="9" fillId="0" borderId="28" xfId="0" applyFont="1" applyFill="1" applyBorder="1"/>
    <xf numFmtId="0" fontId="9" fillId="0" borderId="4" xfId="0" applyFont="1" applyFill="1" applyBorder="1" applyAlignment="1" applyProtection="1">
      <alignment horizontal="center"/>
      <protection locked="0"/>
    </xf>
    <xf numFmtId="4" fontId="11" fillId="0" borderId="1" xfId="1" applyNumberFormat="1" applyFont="1" applyBorder="1" applyAlignment="1">
      <alignment horizontal="center" vertical="center" wrapText="1"/>
    </xf>
    <xf numFmtId="0" fontId="9" fillId="0" borderId="29" xfId="0" applyFont="1" applyFill="1" applyBorder="1"/>
    <xf numFmtId="0" fontId="9" fillId="0" borderId="17" xfId="0" applyFont="1" applyFill="1" applyBorder="1" applyAlignment="1" applyProtection="1">
      <alignment horizontal="center"/>
      <protection locked="0"/>
    </xf>
    <xf numFmtId="4" fontId="11" fillId="0" borderId="18" xfId="1" applyNumberFormat="1" applyFont="1" applyFill="1" applyBorder="1" applyAlignment="1">
      <alignment horizontal="center" vertical="center" wrapText="1"/>
    </xf>
    <xf numFmtId="0" fontId="9" fillId="0" borderId="27" xfId="0" applyFont="1" applyFill="1" applyBorder="1"/>
    <xf numFmtId="0" fontId="10" fillId="0" borderId="12" xfId="0" applyFont="1" applyFill="1" applyBorder="1" applyAlignment="1" applyProtection="1">
      <alignment horizontal="center"/>
      <protection locked="0"/>
    </xf>
    <xf numFmtId="0" fontId="15" fillId="0" borderId="4" xfId="2" applyFont="1" applyFill="1" applyBorder="1" applyAlignment="1" applyProtection="1">
      <alignment vertical="center" wrapText="1"/>
      <protection locked="0"/>
    </xf>
    <xf numFmtId="49" fontId="11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/>
    <xf numFmtId="0" fontId="9" fillId="0" borderId="37" xfId="0" applyFont="1" applyFill="1" applyBorder="1"/>
    <xf numFmtId="0" fontId="9" fillId="0" borderId="37" xfId="0" applyFont="1" applyFill="1" applyBorder="1" applyAlignment="1" applyProtection="1">
      <alignment horizontal="center"/>
      <protection locked="0"/>
    </xf>
    <xf numFmtId="0" fontId="15" fillId="0" borderId="37" xfId="2" applyFont="1" applyFill="1" applyBorder="1" applyAlignment="1" applyProtection="1">
      <alignment vertical="center" wrapText="1"/>
      <protection locked="0"/>
    </xf>
    <xf numFmtId="49" fontId="11" fillId="0" borderId="37" xfId="2" applyNumberFormat="1" applyFont="1" applyFill="1" applyBorder="1" applyAlignment="1" applyProtection="1">
      <alignment horizontal="center" vertical="center" wrapText="1"/>
      <protection locked="0"/>
    </xf>
    <xf numFmtId="4" fontId="11" fillId="0" borderId="37" xfId="1" applyNumberFormat="1" applyFont="1" applyBorder="1" applyAlignment="1">
      <alignment horizontal="center" vertical="center" wrapText="1"/>
    </xf>
    <xf numFmtId="4" fontId="11" fillId="0" borderId="42" xfId="1" applyNumberFormat="1" applyFont="1" applyBorder="1" applyAlignment="1">
      <alignment horizontal="center" vertical="center" wrapText="1"/>
    </xf>
    <xf numFmtId="4" fontId="11" fillId="0" borderId="18" xfId="1" applyNumberFormat="1" applyFont="1" applyBorder="1" applyAlignment="1">
      <alignment horizontal="center" vertical="center" wrapText="1"/>
    </xf>
    <xf numFmtId="4" fontId="12" fillId="0" borderId="6" xfId="1" applyNumberFormat="1" applyFont="1" applyFill="1" applyBorder="1" applyAlignment="1">
      <alignment horizontal="center" vertical="center" wrapText="1"/>
    </xf>
    <xf numFmtId="4" fontId="11" fillId="0" borderId="6" xfId="1" applyNumberFormat="1" applyFont="1" applyFill="1" applyBorder="1" applyAlignment="1">
      <alignment horizontal="center" vertical="center" wrapText="1"/>
    </xf>
    <xf numFmtId="4" fontId="11" fillId="0" borderId="7" xfId="1" applyNumberFormat="1" applyFont="1" applyFill="1" applyBorder="1" applyAlignment="1">
      <alignment horizontal="center" vertical="center" wrapText="1"/>
    </xf>
    <xf numFmtId="0" fontId="15" fillId="0" borderId="0" xfId="6" applyNumberFormat="1" applyFont="1" applyFill="1" applyBorder="1" applyAlignment="1" applyProtection="1">
      <alignment vertical="center"/>
    </xf>
    <xf numFmtId="0" fontId="9" fillId="0" borderId="12" xfId="0" applyFont="1" applyFill="1" applyBorder="1" applyProtection="1">
      <protection locked="0"/>
    </xf>
    <xf numFmtId="4" fontId="11" fillId="0" borderId="25" xfId="1" applyNumberFormat="1" applyFont="1" applyFill="1" applyBorder="1" applyAlignment="1">
      <alignment horizontal="center" vertical="center" wrapText="1"/>
    </xf>
    <xf numFmtId="4" fontId="11" fillId="0" borderId="26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15" fillId="0" borderId="0" xfId="7" applyNumberFormat="1" applyFont="1" applyFill="1" applyBorder="1" applyAlignment="1" applyProtection="1">
      <alignment vertical="center"/>
    </xf>
    <xf numFmtId="4" fontId="11" fillId="0" borderId="12" xfId="1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9" fillId="0" borderId="44" xfId="0" applyFont="1" applyFill="1" applyBorder="1"/>
    <xf numFmtId="0" fontId="15" fillId="0" borderId="0" xfId="8" applyNumberFormat="1" applyFont="1" applyFill="1" applyBorder="1" applyAlignment="1" applyProtection="1">
      <alignment vertical="center"/>
    </xf>
    <xf numFmtId="0" fontId="15" fillId="0" borderId="0" xfId="9" applyNumberFormat="1" applyFont="1" applyFill="1" applyBorder="1" applyAlignment="1" applyProtection="1">
      <alignment vertical="center"/>
    </xf>
    <xf numFmtId="0" fontId="15" fillId="0" borderId="0" xfId="10" applyNumberFormat="1" applyFont="1" applyFill="1" applyBorder="1" applyAlignment="1" applyProtection="1">
      <alignment vertical="center"/>
    </xf>
    <xf numFmtId="2" fontId="29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14" fontId="17" fillId="0" borderId="0" xfId="4" applyNumberFormat="1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2" fontId="9" fillId="0" borderId="2" xfId="0" applyNumberFormat="1" applyFont="1" applyFill="1" applyBorder="1" applyAlignment="1" applyProtection="1">
      <alignment horizontal="center"/>
      <protection locked="0"/>
    </xf>
    <xf numFmtId="2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</cellXfs>
  <cellStyles count="11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2" xfId="5"/>
    <cellStyle name="Обычный 2 4 3 2 3" xfId="6"/>
    <cellStyle name="Обычный 2 4 3 2 4" xfId="7"/>
    <cellStyle name="Обычный 2 4 3 2 5" xfId="8"/>
    <cellStyle name="Обычный 2 4 3 2 6" xfId="9"/>
    <cellStyle name="Обычный 2 4 3 2 7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60"/>
  <sheetViews>
    <sheetView view="pageBreakPreview" zoomScale="60" zoomScaleNormal="60" workbookViewId="0">
      <selection activeCell="H22" sqref="H22"/>
    </sheetView>
  </sheetViews>
  <sheetFormatPr defaultRowHeight="15" x14ac:dyDescent="0.25"/>
  <cols>
    <col min="1" max="1" width="11.5703125" customWidth="1"/>
    <col min="2" max="2" width="12" customWidth="1"/>
    <col min="3" max="3" width="6.5703125" customWidth="1"/>
    <col min="4" max="4" width="40.5703125" customWidth="1"/>
    <col min="5" max="5" width="9.140625" customWidth="1"/>
    <col min="6" max="6" width="10.140625" customWidth="1"/>
    <col min="7" max="7" width="12.28515625" customWidth="1"/>
    <col min="8" max="8" width="10.85546875" customWidth="1"/>
    <col min="9" max="9" width="9.7109375" customWidth="1"/>
    <col min="10" max="10" width="14.7109375" customWidth="1"/>
    <col min="11" max="11" width="11.5703125" customWidth="1"/>
    <col min="12" max="12" width="12" customWidth="1"/>
    <col min="13" max="13" width="6.5703125" customWidth="1"/>
    <col min="14" max="14" width="36.7109375" customWidth="1"/>
    <col min="16" max="16" width="9.42578125" bestFit="1" customWidth="1"/>
    <col min="17" max="17" width="12.28515625" customWidth="1"/>
    <col min="18" max="18" width="10.42578125" customWidth="1"/>
    <col min="19" max="19" width="9.7109375" customWidth="1"/>
    <col min="20" max="20" width="15.7109375" customWidth="1"/>
  </cols>
  <sheetData>
    <row r="1" spans="1:20" s="1" customFormat="1" ht="21.95" customHeight="1" x14ac:dyDescent="0.3">
      <c r="A1" s="1" t="s">
        <v>0</v>
      </c>
      <c r="B1" s="210" t="s">
        <v>5</v>
      </c>
      <c r="C1" s="211"/>
      <c r="D1" s="211"/>
      <c r="E1" s="211"/>
      <c r="F1" s="212"/>
      <c r="G1" s="1" t="s">
        <v>1</v>
      </c>
      <c r="H1" s="2" t="s">
        <v>2</v>
      </c>
      <c r="I1" s="1" t="s">
        <v>3</v>
      </c>
      <c r="J1" s="3">
        <v>44257</v>
      </c>
      <c r="K1" s="1" t="s">
        <v>0</v>
      </c>
      <c r="L1" s="210" t="s">
        <v>5</v>
      </c>
      <c r="M1" s="211"/>
      <c r="N1" s="211"/>
      <c r="O1" s="211"/>
      <c r="P1" s="212"/>
      <c r="Q1" s="1" t="s">
        <v>1</v>
      </c>
      <c r="R1" s="2" t="s">
        <v>4</v>
      </c>
      <c r="S1" s="1" t="s">
        <v>3</v>
      </c>
      <c r="T1" s="3">
        <f>J1</f>
        <v>44257</v>
      </c>
    </row>
    <row r="2" spans="1:20" s="1" customFormat="1" ht="21.95" customHeight="1" thickBot="1" x14ac:dyDescent="0.35"/>
    <row r="3" spans="1:20" s="7" customFormat="1" ht="21.95" customHeight="1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  <c r="K3" s="4" t="s">
        <v>6</v>
      </c>
      <c r="L3" s="5" t="s">
        <v>7</v>
      </c>
      <c r="M3" s="5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5" t="s">
        <v>14</v>
      </c>
      <c r="T3" s="6" t="s">
        <v>15</v>
      </c>
    </row>
    <row r="4" spans="1:20" s="1" customFormat="1" ht="21.95" customHeight="1" x14ac:dyDescent="0.3">
      <c r="A4" s="9" t="s">
        <v>16</v>
      </c>
      <c r="B4" s="10" t="s">
        <v>17</v>
      </c>
      <c r="C4" s="11">
        <v>32</v>
      </c>
      <c r="D4" s="12" t="s">
        <v>18</v>
      </c>
      <c r="E4" s="13" t="s">
        <v>19</v>
      </c>
      <c r="F4" s="14">
        <v>67.069999999999993</v>
      </c>
      <c r="G4" s="15">
        <v>8.14</v>
      </c>
      <c r="H4" s="15">
        <v>9.68</v>
      </c>
      <c r="I4" s="15">
        <v>38.39</v>
      </c>
      <c r="J4" s="16">
        <v>273</v>
      </c>
      <c r="K4" s="9" t="s">
        <v>16</v>
      </c>
      <c r="L4" s="10" t="s">
        <v>17</v>
      </c>
      <c r="M4" s="11">
        <v>75</v>
      </c>
      <c r="N4" s="12" t="s">
        <v>20</v>
      </c>
      <c r="O4" s="13" t="s">
        <v>21</v>
      </c>
      <c r="P4" s="14">
        <f>75/20*22+15.9-9.2</f>
        <v>89.2</v>
      </c>
      <c r="Q4" s="15">
        <f>8.14/20*22</f>
        <v>8.9540000000000006</v>
      </c>
      <c r="R4" s="15">
        <f>9.68/20*22</f>
        <v>10.648</v>
      </c>
      <c r="S4" s="15">
        <f>38.39/20*22</f>
        <v>42.228999999999999</v>
      </c>
      <c r="T4" s="16">
        <f>273/20*22</f>
        <v>300.3</v>
      </c>
    </row>
    <row r="5" spans="1:20" s="1" customFormat="1" ht="21.95" customHeight="1" x14ac:dyDescent="0.3">
      <c r="A5" s="8"/>
      <c r="B5" s="2" t="s">
        <v>22</v>
      </c>
      <c r="C5" s="17">
        <f>C4</f>
        <v>32</v>
      </c>
      <c r="D5" s="18" t="s">
        <v>23</v>
      </c>
      <c r="E5" s="19" t="s">
        <v>19</v>
      </c>
      <c r="F5" s="20">
        <v>8</v>
      </c>
      <c r="G5" s="21">
        <v>0.06</v>
      </c>
      <c r="H5" s="21">
        <v>0.02</v>
      </c>
      <c r="I5" s="21">
        <v>9.99</v>
      </c>
      <c r="J5" s="22">
        <v>40</v>
      </c>
      <c r="K5" s="8"/>
      <c r="L5" s="2" t="s">
        <v>22</v>
      </c>
      <c r="M5" s="17">
        <f>M4</f>
        <v>75</v>
      </c>
      <c r="N5" s="18" t="s">
        <v>23</v>
      </c>
      <c r="O5" s="19" t="s">
        <v>19</v>
      </c>
      <c r="P5" s="20">
        <v>8</v>
      </c>
      <c r="Q5" s="21">
        <v>0.06</v>
      </c>
      <c r="R5" s="21">
        <v>0.02</v>
      </c>
      <c r="S5" s="21">
        <v>9.99</v>
      </c>
      <c r="T5" s="22">
        <v>40</v>
      </c>
    </row>
    <row r="6" spans="1:20" s="1" customFormat="1" ht="21.95" customHeight="1" x14ac:dyDescent="0.3">
      <c r="A6" s="8"/>
      <c r="B6" s="2" t="s">
        <v>24</v>
      </c>
      <c r="C6" s="17">
        <f t="shared" ref="C6" si="0">C5</f>
        <v>32</v>
      </c>
      <c r="D6" s="18" t="s">
        <v>25</v>
      </c>
      <c r="E6" s="19" t="s">
        <v>26</v>
      </c>
      <c r="F6" s="20">
        <v>9.1999999999999993</v>
      </c>
      <c r="G6" s="23">
        <v>2.29</v>
      </c>
      <c r="H6" s="23">
        <v>0.9</v>
      </c>
      <c r="I6" s="23">
        <v>15</v>
      </c>
      <c r="J6" s="24">
        <v>77.7</v>
      </c>
      <c r="K6" s="8"/>
      <c r="L6" s="2" t="s">
        <v>24</v>
      </c>
      <c r="M6" s="17">
        <f t="shared" ref="M6" si="1">M5</f>
        <v>75</v>
      </c>
      <c r="N6" s="18" t="s">
        <v>25</v>
      </c>
      <c r="O6" s="19" t="s">
        <v>26</v>
      </c>
      <c r="P6" s="20">
        <v>9.1999999999999993</v>
      </c>
      <c r="Q6" s="23">
        <v>2.29</v>
      </c>
      <c r="R6" s="23">
        <v>0.9</v>
      </c>
      <c r="S6" s="23">
        <v>15</v>
      </c>
      <c r="T6" s="24">
        <v>77.7</v>
      </c>
    </row>
    <row r="7" spans="1:20" s="1" customFormat="1" ht="21.95" customHeight="1" x14ac:dyDescent="0.3">
      <c r="A7" s="8"/>
      <c r="B7" s="25" t="s">
        <v>27</v>
      </c>
      <c r="C7" s="17">
        <f>C6</f>
        <v>32</v>
      </c>
      <c r="D7" s="18" t="s">
        <v>28</v>
      </c>
      <c r="E7" s="19" t="s">
        <v>29</v>
      </c>
      <c r="F7" s="20">
        <v>10</v>
      </c>
      <c r="G7" s="23">
        <v>0.2</v>
      </c>
      <c r="H7" s="23">
        <v>0.4</v>
      </c>
      <c r="I7" s="23">
        <v>9.5</v>
      </c>
      <c r="J7" s="24">
        <v>44</v>
      </c>
      <c r="K7" s="8"/>
      <c r="L7" s="25" t="s">
        <v>27</v>
      </c>
      <c r="M7" s="17">
        <f>M6</f>
        <v>75</v>
      </c>
      <c r="N7" s="18" t="s">
        <v>28</v>
      </c>
      <c r="O7" s="19" t="s">
        <v>29</v>
      </c>
      <c r="P7" s="20">
        <v>10</v>
      </c>
      <c r="Q7" s="23">
        <v>0.2</v>
      </c>
      <c r="R7" s="23">
        <v>0.4</v>
      </c>
      <c r="S7" s="23">
        <v>9.5</v>
      </c>
      <c r="T7" s="24">
        <v>44</v>
      </c>
    </row>
    <row r="8" spans="1:20" s="1" customFormat="1" ht="21.95" customHeight="1" thickBot="1" x14ac:dyDescent="0.35">
      <c r="A8" s="26"/>
      <c r="B8" s="27" t="s">
        <v>30</v>
      </c>
      <c r="C8" s="28">
        <f>C7</f>
        <v>32</v>
      </c>
      <c r="D8" s="29" t="s">
        <v>31</v>
      </c>
      <c r="E8" s="30" t="s">
        <v>29</v>
      </c>
      <c r="F8" s="31">
        <v>13</v>
      </c>
      <c r="G8" s="32">
        <v>2.63</v>
      </c>
      <c r="H8" s="32">
        <v>2.66</v>
      </c>
      <c r="I8" s="32">
        <v>0</v>
      </c>
      <c r="J8" s="33">
        <v>3.5</v>
      </c>
      <c r="K8" s="26"/>
      <c r="L8" s="27" t="s">
        <v>30</v>
      </c>
      <c r="M8" s="28">
        <f>M6</f>
        <v>75</v>
      </c>
      <c r="N8" s="29" t="s">
        <v>31</v>
      </c>
      <c r="O8" s="30" t="s">
        <v>29</v>
      </c>
      <c r="P8" s="31">
        <v>13</v>
      </c>
      <c r="Q8" s="32">
        <v>2.63</v>
      </c>
      <c r="R8" s="32">
        <v>2.66</v>
      </c>
      <c r="S8" s="32">
        <v>0</v>
      </c>
      <c r="T8" s="33">
        <v>3.5</v>
      </c>
    </row>
    <row r="9" spans="1:20" s="38" customFormat="1" ht="21.95" customHeight="1" thickBot="1" x14ac:dyDescent="0.3">
      <c r="A9" s="204" t="s">
        <v>32</v>
      </c>
      <c r="B9" s="205"/>
      <c r="C9" s="206"/>
      <c r="D9" s="34"/>
      <c r="E9" s="35"/>
      <c r="F9" s="20">
        <f>SUM(F4:F8)</f>
        <v>107.27</v>
      </c>
      <c r="G9" s="36">
        <f>SUM(G4:G8)</f>
        <v>13.32</v>
      </c>
      <c r="H9" s="36">
        <f t="shared" ref="H9:J9" si="2">SUM(H4:H8)</f>
        <v>13.66</v>
      </c>
      <c r="I9" s="36">
        <f t="shared" si="2"/>
        <v>72.88</v>
      </c>
      <c r="J9" s="37">
        <f t="shared" si="2"/>
        <v>438.2</v>
      </c>
      <c r="K9" s="204" t="s">
        <v>32</v>
      </c>
      <c r="L9" s="205"/>
      <c r="M9" s="206"/>
      <c r="N9" s="34"/>
      <c r="O9" s="35"/>
      <c r="P9" s="20">
        <f>SUM(P4:P8)</f>
        <v>129.4</v>
      </c>
      <c r="Q9" s="36">
        <f>SUM(Q4:Q8)</f>
        <v>14.134</v>
      </c>
      <c r="R9" s="36">
        <f t="shared" ref="R9:T9" si="3">SUM(R4:R8)</f>
        <v>14.628</v>
      </c>
      <c r="S9" s="36">
        <f t="shared" si="3"/>
        <v>76.718999999999994</v>
      </c>
      <c r="T9" s="37">
        <f t="shared" si="3"/>
        <v>465.5</v>
      </c>
    </row>
    <row r="10" spans="1:20" s="1" customFormat="1" ht="21.95" customHeight="1" x14ac:dyDescent="0.3">
      <c r="A10" s="9" t="s">
        <v>33</v>
      </c>
      <c r="B10" s="10" t="s">
        <v>34</v>
      </c>
      <c r="C10" s="11">
        <v>32</v>
      </c>
      <c r="D10" s="12" t="s">
        <v>35</v>
      </c>
      <c r="E10" s="13" t="s">
        <v>36</v>
      </c>
      <c r="F10" s="14">
        <v>7.5</v>
      </c>
      <c r="G10" s="15">
        <v>0.35</v>
      </c>
      <c r="H10" s="15">
        <v>0.05</v>
      </c>
      <c r="I10" s="15">
        <v>1.3</v>
      </c>
      <c r="J10" s="16">
        <v>7</v>
      </c>
      <c r="K10" s="9" t="s">
        <v>33</v>
      </c>
      <c r="L10" s="10" t="s">
        <v>34</v>
      </c>
      <c r="M10" s="11">
        <v>78</v>
      </c>
      <c r="N10" s="12" t="s">
        <v>35</v>
      </c>
      <c r="O10" s="13" t="s">
        <v>36</v>
      </c>
      <c r="P10" s="14">
        <v>7.5</v>
      </c>
      <c r="Q10" s="15">
        <v>0.35</v>
      </c>
      <c r="R10" s="15">
        <v>0.05</v>
      </c>
      <c r="S10" s="15">
        <v>1.3</v>
      </c>
      <c r="T10" s="16">
        <v>7</v>
      </c>
    </row>
    <row r="11" spans="1:20" s="7" customFormat="1" ht="40.5" customHeight="1" x14ac:dyDescent="0.25">
      <c r="A11" s="39"/>
      <c r="B11" s="41" t="s">
        <v>37</v>
      </c>
      <c r="C11" s="40">
        <f t="shared" ref="C11:C16" si="4">C10</f>
        <v>32</v>
      </c>
      <c r="D11" s="18" t="s">
        <v>38</v>
      </c>
      <c r="E11" s="19" t="s">
        <v>39</v>
      </c>
      <c r="F11" s="20">
        <v>75</v>
      </c>
      <c r="G11" s="23">
        <v>3.5</v>
      </c>
      <c r="H11" s="23">
        <v>4.5</v>
      </c>
      <c r="I11" s="23">
        <v>14.75</v>
      </c>
      <c r="J11" s="24">
        <v>112.5</v>
      </c>
      <c r="K11" s="39"/>
      <c r="L11" s="41" t="s">
        <v>37</v>
      </c>
      <c r="M11" s="40">
        <f t="shared" ref="M11:M16" si="5">M10</f>
        <v>78</v>
      </c>
      <c r="N11" s="18" t="s">
        <v>38</v>
      </c>
      <c r="O11" s="19" t="s">
        <v>40</v>
      </c>
      <c r="P11" s="20">
        <f>89.6-5.74</f>
        <v>83.86</v>
      </c>
      <c r="Q11" s="23">
        <f>3.5+0.5</f>
        <v>4</v>
      </c>
      <c r="R11" s="23">
        <f>4.5+0.5</f>
        <v>5</v>
      </c>
      <c r="S11" s="23">
        <f>14.75+1</f>
        <v>15.75</v>
      </c>
      <c r="T11" s="24">
        <f>112.5+15</f>
        <v>127.5</v>
      </c>
    </row>
    <row r="12" spans="1:20" s="1" customFormat="1" ht="21.95" customHeight="1" x14ac:dyDescent="0.3">
      <c r="A12" s="8"/>
      <c r="B12" s="2" t="s">
        <v>41</v>
      </c>
      <c r="C12" s="17">
        <f t="shared" si="4"/>
        <v>32</v>
      </c>
      <c r="D12" s="18" t="s">
        <v>42</v>
      </c>
      <c r="E12" s="19" t="s">
        <v>43</v>
      </c>
      <c r="F12" s="20">
        <f>72.1-7.73</f>
        <v>64.36999999999999</v>
      </c>
      <c r="G12" s="23">
        <v>9.3000000000000007</v>
      </c>
      <c r="H12" s="23">
        <v>10.6</v>
      </c>
      <c r="I12" s="23">
        <v>12.4</v>
      </c>
      <c r="J12" s="24">
        <v>184.1</v>
      </c>
      <c r="K12" s="8"/>
      <c r="L12" s="2" t="s">
        <v>41</v>
      </c>
      <c r="M12" s="17">
        <f t="shared" si="5"/>
        <v>78</v>
      </c>
      <c r="N12" s="18" t="s">
        <v>42</v>
      </c>
      <c r="O12" s="19" t="s">
        <v>43</v>
      </c>
      <c r="P12" s="20">
        <f>72.1-7.73</f>
        <v>64.36999999999999</v>
      </c>
      <c r="Q12" s="23">
        <v>9.3000000000000007</v>
      </c>
      <c r="R12" s="23">
        <v>10.6</v>
      </c>
      <c r="S12" s="23">
        <v>12.4</v>
      </c>
      <c r="T12" s="24">
        <v>184.1</v>
      </c>
    </row>
    <row r="13" spans="1:20" s="1" customFormat="1" ht="21.95" customHeight="1" x14ac:dyDescent="0.3">
      <c r="A13" s="8"/>
      <c r="B13" s="2" t="s">
        <v>44</v>
      </c>
      <c r="C13" s="17">
        <f t="shared" si="4"/>
        <v>32</v>
      </c>
      <c r="D13" s="42" t="s">
        <v>45</v>
      </c>
      <c r="E13" s="19" t="s">
        <v>46</v>
      </c>
      <c r="F13" s="20">
        <v>15</v>
      </c>
      <c r="G13" s="23">
        <v>5.4</v>
      </c>
      <c r="H13" s="23">
        <v>6.54</v>
      </c>
      <c r="I13" s="23">
        <v>64.3</v>
      </c>
      <c r="J13" s="24">
        <v>216.27</v>
      </c>
      <c r="K13" s="8"/>
      <c r="L13" s="2" t="s">
        <v>44</v>
      </c>
      <c r="M13" s="17">
        <f t="shared" si="5"/>
        <v>78</v>
      </c>
      <c r="N13" s="42" t="s">
        <v>45</v>
      </c>
      <c r="O13" s="19" t="s">
        <v>47</v>
      </c>
      <c r="P13" s="20">
        <v>18</v>
      </c>
      <c r="Q13" s="23">
        <f>5.4/15*18</f>
        <v>6.48</v>
      </c>
      <c r="R13" s="23">
        <f>6.54/15*18</f>
        <v>7.8479999999999999</v>
      </c>
      <c r="S13" s="23">
        <f>64.3/15*18</f>
        <v>77.16</v>
      </c>
      <c r="T13" s="24">
        <f>216.27/15*18</f>
        <v>259.524</v>
      </c>
    </row>
    <row r="14" spans="1:20" s="1" customFormat="1" ht="21.95" customHeight="1" x14ac:dyDescent="0.3">
      <c r="A14" s="8"/>
      <c r="B14" s="2" t="s">
        <v>22</v>
      </c>
      <c r="C14" s="17">
        <f t="shared" si="4"/>
        <v>32</v>
      </c>
      <c r="D14" s="42" t="s">
        <v>48</v>
      </c>
      <c r="E14" s="19" t="s">
        <v>19</v>
      </c>
      <c r="F14" s="20">
        <v>24</v>
      </c>
      <c r="G14" s="23">
        <v>0.55000000000000004</v>
      </c>
      <c r="H14" s="23">
        <v>0.08</v>
      </c>
      <c r="I14" s="23">
        <v>20.3</v>
      </c>
      <c r="J14" s="24">
        <v>85.23</v>
      </c>
      <c r="K14" s="8"/>
      <c r="L14" s="2" t="s">
        <v>22</v>
      </c>
      <c r="M14" s="17">
        <f t="shared" si="5"/>
        <v>78</v>
      </c>
      <c r="N14" s="42" t="s">
        <v>48</v>
      </c>
      <c r="O14" s="19" t="s">
        <v>19</v>
      </c>
      <c r="P14" s="20">
        <v>24</v>
      </c>
      <c r="Q14" s="23">
        <v>0.55000000000000004</v>
      </c>
      <c r="R14" s="23">
        <v>0.08</v>
      </c>
      <c r="S14" s="23">
        <v>20.3</v>
      </c>
      <c r="T14" s="24">
        <v>85.23</v>
      </c>
    </row>
    <row r="15" spans="1:20" s="1" customFormat="1" ht="21.95" customHeight="1" x14ac:dyDescent="0.3">
      <c r="A15" s="8"/>
      <c r="B15" s="2" t="s">
        <v>49</v>
      </c>
      <c r="C15" s="17">
        <f t="shared" si="4"/>
        <v>32</v>
      </c>
      <c r="D15" s="18" t="s">
        <v>50</v>
      </c>
      <c r="E15" s="19" t="s">
        <v>51</v>
      </c>
      <c r="F15" s="20">
        <v>6</v>
      </c>
      <c r="G15" s="21">
        <f>4/2</f>
        <v>2</v>
      </c>
      <c r="H15" s="21">
        <f>0.75/2</f>
        <v>0.375</v>
      </c>
      <c r="I15" s="21">
        <f>20.05/2</f>
        <v>10.025</v>
      </c>
      <c r="J15" s="22">
        <f>104/2</f>
        <v>52</v>
      </c>
      <c r="K15" s="8"/>
      <c r="L15" s="2" t="s">
        <v>49</v>
      </c>
      <c r="M15" s="17">
        <f t="shared" si="5"/>
        <v>78</v>
      </c>
      <c r="N15" s="18" t="s">
        <v>50</v>
      </c>
      <c r="O15" s="19" t="s">
        <v>51</v>
      </c>
      <c r="P15" s="20">
        <v>6</v>
      </c>
      <c r="Q15" s="21">
        <f>4/2</f>
        <v>2</v>
      </c>
      <c r="R15" s="21">
        <f>0.75/2</f>
        <v>0.375</v>
      </c>
      <c r="S15" s="21">
        <f>20.05/2</f>
        <v>10.025</v>
      </c>
      <c r="T15" s="22">
        <f>104/2</f>
        <v>52</v>
      </c>
    </row>
    <row r="16" spans="1:20" s="1" customFormat="1" ht="21.95" customHeight="1" thickBot="1" x14ac:dyDescent="0.35">
      <c r="A16" s="26"/>
      <c r="B16" s="43" t="s">
        <v>52</v>
      </c>
      <c r="C16" s="28">
        <f t="shared" si="4"/>
        <v>32</v>
      </c>
      <c r="D16" s="29" t="s">
        <v>53</v>
      </c>
      <c r="E16" s="30" t="s">
        <v>51</v>
      </c>
      <c r="F16" s="44">
        <v>6</v>
      </c>
      <c r="G16" s="32">
        <f>2.72/2</f>
        <v>1.36</v>
      </c>
      <c r="H16" s="32">
        <f>0.52/2</f>
        <v>0.26</v>
      </c>
      <c r="I16" s="32">
        <f>15.92/2</f>
        <v>7.96</v>
      </c>
      <c r="J16" s="33">
        <f>80.4/2</f>
        <v>40.200000000000003</v>
      </c>
      <c r="K16" s="26"/>
      <c r="L16" s="43" t="s">
        <v>52</v>
      </c>
      <c r="M16" s="28">
        <f t="shared" si="5"/>
        <v>78</v>
      </c>
      <c r="N16" s="29" t="s">
        <v>53</v>
      </c>
      <c r="O16" s="30" t="s">
        <v>51</v>
      </c>
      <c r="P16" s="44">
        <v>6</v>
      </c>
      <c r="Q16" s="32">
        <f>2.72/2</f>
        <v>1.36</v>
      </c>
      <c r="R16" s="32">
        <f>0.52/2</f>
        <v>0.26</v>
      </c>
      <c r="S16" s="32">
        <f>15.92/2</f>
        <v>7.96</v>
      </c>
      <c r="T16" s="33">
        <f>80.4/2</f>
        <v>40.200000000000003</v>
      </c>
    </row>
    <row r="17" spans="1:20" s="38" customFormat="1" ht="21.95" customHeight="1" thickBot="1" x14ac:dyDescent="0.3">
      <c r="A17" s="204" t="s">
        <v>32</v>
      </c>
      <c r="B17" s="205"/>
      <c r="C17" s="206"/>
      <c r="D17" s="34"/>
      <c r="E17" s="35"/>
      <c r="F17" s="20">
        <f>SUM(F10:F16)</f>
        <v>197.87</v>
      </c>
      <c r="G17" s="36">
        <f>SUM(G10:G16)</f>
        <v>22.46</v>
      </c>
      <c r="H17" s="36">
        <f t="shared" ref="H17:J17" si="6">SUM(H10:H16)</f>
        <v>22.404999999999998</v>
      </c>
      <c r="I17" s="36">
        <f t="shared" si="6"/>
        <v>131.035</v>
      </c>
      <c r="J17" s="37">
        <f t="shared" si="6"/>
        <v>697.30000000000007</v>
      </c>
      <c r="K17" s="204" t="s">
        <v>32</v>
      </c>
      <c r="L17" s="205"/>
      <c r="M17" s="206"/>
      <c r="N17" s="34"/>
      <c r="O17" s="35"/>
      <c r="P17" s="20">
        <f>SUM(P10:P16)</f>
        <v>209.73</v>
      </c>
      <c r="Q17" s="36">
        <f t="shared" ref="Q17:T17" si="7">SUM(Q10:Q16)</f>
        <v>24.040000000000003</v>
      </c>
      <c r="R17" s="36">
        <f t="shared" si="7"/>
        <v>24.212999999999997</v>
      </c>
      <c r="S17" s="36">
        <f t="shared" si="7"/>
        <v>144.89500000000001</v>
      </c>
      <c r="T17" s="37">
        <f t="shared" si="7"/>
        <v>755.55400000000009</v>
      </c>
    </row>
    <row r="18" spans="1:20" s="1" customFormat="1" ht="21.95" customHeight="1" x14ac:dyDescent="0.3">
      <c r="A18" s="9" t="s">
        <v>54</v>
      </c>
      <c r="B18" s="10" t="s">
        <v>58</v>
      </c>
      <c r="C18" s="11">
        <v>30</v>
      </c>
      <c r="D18" s="45" t="s">
        <v>55</v>
      </c>
      <c r="E18" s="46" t="s">
        <v>19</v>
      </c>
      <c r="F18" s="14">
        <v>53</v>
      </c>
      <c r="G18" s="15">
        <v>0.6</v>
      </c>
      <c r="H18" s="15"/>
      <c r="I18" s="15">
        <v>33</v>
      </c>
      <c r="J18" s="16">
        <v>136</v>
      </c>
      <c r="K18" s="9" t="s">
        <v>54</v>
      </c>
      <c r="L18" s="10" t="s">
        <v>58</v>
      </c>
      <c r="M18" s="11">
        <v>5</v>
      </c>
      <c r="N18" s="45" t="s">
        <v>56</v>
      </c>
      <c r="O18" s="46" t="s">
        <v>57</v>
      </c>
      <c r="P18" s="14">
        <v>62</v>
      </c>
      <c r="Q18" s="15">
        <v>0.6</v>
      </c>
      <c r="R18" s="15"/>
      <c r="S18" s="15">
        <v>33</v>
      </c>
      <c r="T18" s="16">
        <v>136</v>
      </c>
    </row>
    <row r="19" spans="1:20" s="1" customFormat="1" ht="21.95" customHeight="1" thickBot="1" x14ac:dyDescent="0.35">
      <c r="A19" s="26"/>
      <c r="B19" s="27" t="s">
        <v>22</v>
      </c>
      <c r="C19" s="28">
        <f>C18</f>
        <v>30</v>
      </c>
      <c r="D19" s="47" t="s">
        <v>59</v>
      </c>
      <c r="E19" s="48" t="s">
        <v>60</v>
      </c>
      <c r="F19" s="44">
        <v>36.6</v>
      </c>
      <c r="G19" s="49">
        <v>3.5</v>
      </c>
      <c r="H19" s="49">
        <v>9</v>
      </c>
      <c r="I19" s="49">
        <v>38.5</v>
      </c>
      <c r="J19" s="50">
        <v>220</v>
      </c>
      <c r="K19" s="26"/>
      <c r="L19" s="27" t="s">
        <v>22</v>
      </c>
      <c r="M19" s="28">
        <f>M18</f>
        <v>5</v>
      </c>
      <c r="N19" s="47" t="s">
        <v>59</v>
      </c>
      <c r="O19" s="48" t="s">
        <v>60</v>
      </c>
      <c r="P19" s="44">
        <v>36.6</v>
      </c>
      <c r="Q19" s="49">
        <v>3.5</v>
      </c>
      <c r="R19" s="49">
        <v>9</v>
      </c>
      <c r="S19" s="49">
        <v>38.5</v>
      </c>
      <c r="T19" s="50">
        <v>220</v>
      </c>
    </row>
    <row r="20" spans="1:20" s="38" customFormat="1" ht="21.95" customHeight="1" thickBot="1" x14ac:dyDescent="0.3">
      <c r="A20" s="207" t="s">
        <v>32</v>
      </c>
      <c r="B20" s="208"/>
      <c r="C20" s="209"/>
      <c r="D20" s="51"/>
      <c r="E20" s="52"/>
      <c r="F20" s="44">
        <f t="shared" ref="F20:J20" si="8">SUM(F18:F19)</f>
        <v>89.6</v>
      </c>
      <c r="G20" s="53">
        <f t="shared" si="8"/>
        <v>4.0999999999999996</v>
      </c>
      <c r="H20" s="53">
        <f t="shared" si="8"/>
        <v>9</v>
      </c>
      <c r="I20" s="53">
        <f t="shared" si="8"/>
        <v>71.5</v>
      </c>
      <c r="J20" s="54">
        <f t="shared" si="8"/>
        <v>356</v>
      </c>
      <c r="K20" s="207" t="s">
        <v>32</v>
      </c>
      <c r="L20" s="208"/>
      <c r="M20" s="209"/>
      <c r="N20" s="51"/>
      <c r="O20" s="52"/>
      <c r="P20" s="44">
        <f t="shared" ref="P20:T20" si="9">SUM(P18:P19)</f>
        <v>98.6</v>
      </c>
      <c r="Q20" s="53">
        <f t="shared" si="9"/>
        <v>4.0999999999999996</v>
      </c>
      <c r="R20" s="53">
        <f t="shared" si="9"/>
        <v>9</v>
      </c>
      <c r="S20" s="53">
        <f t="shared" si="9"/>
        <v>71.5</v>
      </c>
      <c r="T20" s="54">
        <f t="shared" si="9"/>
        <v>356</v>
      </c>
    </row>
    <row r="21" spans="1:20" s="55" customFormat="1" x14ac:dyDescent="0.25"/>
    <row r="22" spans="1:20" s="55" customFormat="1" ht="18.75" customHeight="1" x14ac:dyDescent="0.25">
      <c r="D22" s="56" t="s">
        <v>61</v>
      </c>
      <c r="E22" s="57"/>
      <c r="F22" s="58" t="s">
        <v>62</v>
      </c>
      <c r="G22" s="59"/>
      <c r="N22" s="56" t="s">
        <v>61</v>
      </c>
      <c r="O22" s="57"/>
      <c r="P22" s="58" t="s">
        <v>62</v>
      </c>
      <c r="Q22" s="59"/>
    </row>
    <row r="23" spans="1:20" s="55" customFormat="1" ht="18.75" customHeight="1" x14ac:dyDescent="0.25">
      <c r="D23" s="56"/>
      <c r="E23" s="57"/>
      <c r="F23" s="58"/>
      <c r="G23" s="59"/>
      <c r="N23" s="56"/>
      <c r="O23" s="57"/>
      <c r="P23" s="58"/>
      <c r="Q23" s="59"/>
    </row>
    <row r="24" spans="1:20" s="55" customFormat="1" ht="18.75" x14ac:dyDescent="0.25">
      <c r="D24" s="60" t="s">
        <v>63</v>
      </c>
      <c r="E24" s="61"/>
      <c r="F24" s="62" t="s">
        <v>64</v>
      </c>
      <c r="G24" s="59"/>
      <c r="N24" s="60" t="s">
        <v>63</v>
      </c>
      <c r="O24" s="61"/>
      <c r="P24" s="62" t="s">
        <v>64</v>
      </c>
      <c r="Q24" s="59"/>
    </row>
    <row r="25" spans="1:20" ht="18.75" x14ac:dyDescent="0.25">
      <c r="A25" s="63" t="s">
        <v>65</v>
      </c>
      <c r="B25" s="64"/>
      <c r="C25" s="64"/>
      <c r="D25" s="62"/>
      <c r="E25" s="64" t="s">
        <v>66</v>
      </c>
      <c r="F25" s="65"/>
      <c r="G25" s="66"/>
      <c r="H25" s="66" t="s">
        <v>82</v>
      </c>
      <c r="I25" s="203">
        <f>J1</f>
        <v>44257</v>
      </c>
      <c r="J25" s="203"/>
      <c r="K25" s="63" t="s">
        <v>65</v>
      </c>
      <c r="L25" s="64"/>
      <c r="M25" s="64"/>
      <c r="N25" s="62"/>
      <c r="O25" s="64" t="s">
        <v>66</v>
      </c>
      <c r="P25" s="65"/>
      <c r="Q25" s="66"/>
      <c r="R25" s="66">
        <f>H25+1</f>
        <v>2713</v>
      </c>
      <c r="S25" s="203">
        <f>T1</f>
        <v>44257</v>
      </c>
      <c r="T25" s="203"/>
    </row>
    <row r="26" spans="1:20" ht="18.75" x14ac:dyDescent="0.25">
      <c r="A26" s="63" t="s">
        <v>67</v>
      </c>
      <c r="B26" s="64"/>
      <c r="C26" s="65"/>
      <c r="D26" s="65"/>
      <c r="E26" s="65"/>
      <c r="F26" s="65"/>
      <c r="G26" s="62"/>
      <c r="H26" s="62"/>
      <c r="I26" s="66"/>
      <c r="J26" s="67"/>
      <c r="K26" s="63" t="s">
        <v>67</v>
      </c>
      <c r="L26" s="64"/>
      <c r="M26" s="65"/>
      <c r="N26" s="65"/>
      <c r="O26" s="65"/>
      <c r="P26" s="65"/>
      <c r="Q26" s="62"/>
      <c r="R26" s="62"/>
      <c r="S26" s="66"/>
      <c r="T26" s="67"/>
    </row>
    <row r="27" spans="1:20" ht="19.5" thickBot="1" x14ac:dyDescent="0.3">
      <c r="A27" s="63" t="s">
        <v>68</v>
      </c>
      <c r="B27" s="63"/>
      <c r="C27" s="68"/>
      <c r="D27" s="68"/>
      <c r="E27" s="65"/>
      <c r="F27" s="65"/>
      <c r="G27" s="69"/>
      <c r="H27" s="62"/>
      <c r="I27" s="62"/>
      <c r="J27" s="62"/>
      <c r="K27" s="63" t="s">
        <v>68</v>
      </c>
      <c r="L27" s="63"/>
      <c r="M27" s="68"/>
      <c r="N27" s="68"/>
      <c r="O27" s="65"/>
      <c r="P27" s="65"/>
      <c r="Q27" s="69"/>
      <c r="R27" s="62"/>
      <c r="S27" s="62"/>
      <c r="T27" s="62"/>
    </row>
    <row r="28" spans="1:20" s="74" customFormat="1" ht="48.75" customHeight="1" thickBot="1" x14ac:dyDescent="0.3">
      <c r="A28" s="70" t="s">
        <v>69</v>
      </c>
      <c r="B28" s="71" t="s">
        <v>8</v>
      </c>
      <c r="C28" s="71" t="s">
        <v>70</v>
      </c>
      <c r="D28" s="71" t="s">
        <v>71</v>
      </c>
      <c r="E28" s="72" t="s">
        <v>72</v>
      </c>
      <c r="F28" s="72" t="s">
        <v>73</v>
      </c>
      <c r="G28" s="72" t="s">
        <v>74</v>
      </c>
      <c r="H28" s="72" t="s">
        <v>73</v>
      </c>
      <c r="I28" s="72" t="s">
        <v>75</v>
      </c>
      <c r="J28" s="73" t="s">
        <v>73</v>
      </c>
      <c r="K28" s="70" t="s">
        <v>69</v>
      </c>
      <c r="L28" s="71" t="s">
        <v>8</v>
      </c>
      <c r="M28" s="71" t="s">
        <v>70</v>
      </c>
      <c r="N28" s="71" t="s">
        <v>71</v>
      </c>
      <c r="O28" s="72" t="s">
        <v>72</v>
      </c>
      <c r="P28" s="72" t="s">
        <v>73</v>
      </c>
      <c r="Q28" s="72" t="s">
        <v>74</v>
      </c>
      <c r="R28" s="72" t="s">
        <v>73</v>
      </c>
      <c r="S28" s="72" t="s">
        <v>75</v>
      </c>
      <c r="T28" s="73" t="s">
        <v>73</v>
      </c>
    </row>
    <row r="29" spans="1:20" s="74" customFormat="1" ht="15" customHeight="1" x14ac:dyDescent="0.25">
      <c r="A29" s="75"/>
      <c r="B29" s="76" t="str">
        <f>A4</f>
        <v>Завтрак</v>
      </c>
      <c r="C29" s="77"/>
      <c r="D29" s="77"/>
      <c r="E29" s="78"/>
      <c r="F29" s="78"/>
      <c r="G29" s="78"/>
      <c r="H29" s="78"/>
      <c r="I29" s="78"/>
      <c r="J29" s="79"/>
      <c r="K29" s="75"/>
      <c r="L29" s="76" t="str">
        <f>K4</f>
        <v>Завтрак</v>
      </c>
      <c r="M29" s="77"/>
      <c r="N29" s="77"/>
      <c r="O29" s="78"/>
      <c r="P29" s="78"/>
      <c r="Q29" s="78"/>
      <c r="R29" s="78"/>
      <c r="S29" s="78"/>
      <c r="T29" s="79"/>
    </row>
    <row r="30" spans="1:20" s="74" customFormat="1" ht="15" customHeight="1" x14ac:dyDescent="0.25">
      <c r="A30" s="80">
        <v>1</v>
      </c>
      <c r="B30" s="81">
        <f>C4</f>
        <v>32</v>
      </c>
      <c r="C30" s="82" t="str">
        <f>E4</f>
        <v>1/200</v>
      </c>
      <c r="D30" s="83" t="str">
        <f>D4</f>
        <v>Каша молочная манная</v>
      </c>
      <c r="E30" s="84">
        <f>G30/2.5</f>
        <v>14.536000000000001</v>
      </c>
      <c r="F30" s="84">
        <f>E30*B30</f>
        <v>465.15200000000004</v>
      </c>
      <c r="G30" s="85">
        <v>36.340000000000003</v>
      </c>
      <c r="H30" s="84">
        <f>G30*B30</f>
        <v>1162.8800000000001</v>
      </c>
      <c r="I30" s="84">
        <f>F4</f>
        <v>67.069999999999993</v>
      </c>
      <c r="J30" s="86">
        <f>I30*B30</f>
        <v>2146.2399999999998</v>
      </c>
      <c r="K30" s="87">
        <v>1</v>
      </c>
      <c r="L30" s="81">
        <f>M4</f>
        <v>75</v>
      </c>
      <c r="M30" s="82" t="str">
        <f>O4</f>
        <v>220/10</v>
      </c>
      <c r="N30" s="83" t="str">
        <f>N4</f>
        <v>Каша молочная манная с м/сл</v>
      </c>
      <c r="O30" s="84">
        <f>Q30/2.5</f>
        <v>19.841600000000003</v>
      </c>
      <c r="P30" s="84">
        <f>O30*L30</f>
        <v>1488.1200000000003</v>
      </c>
      <c r="Q30" s="85">
        <f>36.34/20*22+9.63</f>
        <v>49.604000000000006</v>
      </c>
      <c r="R30" s="84">
        <f>Q30*L30</f>
        <v>3720.3000000000006</v>
      </c>
      <c r="S30" s="84">
        <f>P4</f>
        <v>89.2</v>
      </c>
      <c r="T30" s="86">
        <f>S30*L30</f>
        <v>6690</v>
      </c>
    </row>
    <row r="31" spans="1:20" s="74" customFormat="1" ht="15" customHeight="1" x14ac:dyDescent="0.25">
      <c r="A31" s="80">
        <f>A30+1</f>
        <v>2</v>
      </c>
      <c r="B31" s="81">
        <f>B30</f>
        <v>32</v>
      </c>
      <c r="C31" s="82" t="str">
        <f>E5</f>
        <v>1/200</v>
      </c>
      <c r="D31" s="83" t="str">
        <f>D5</f>
        <v xml:space="preserve">Чай с сахаром </v>
      </c>
      <c r="E31" s="84">
        <f t="shared" ref="E31:E34" si="10">G31/2.5</f>
        <v>2.544</v>
      </c>
      <c r="F31" s="84">
        <f t="shared" ref="F31:F34" si="11">E31*B31</f>
        <v>81.408000000000001</v>
      </c>
      <c r="G31" s="88">
        <v>6.36</v>
      </c>
      <c r="H31" s="84">
        <f t="shared" ref="H31:H34" si="12">G31*B31</f>
        <v>203.52</v>
      </c>
      <c r="I31" s="84">
        <f t="shared" ref="I31:I34" si="13">F5</f>
        <v>8</v>
      </c>
      <c r="J31" s="86">
        <f t="shared" ref="J31:J34" si="14">I31*B31</f>
        <v>256</v>
      </c>
      <c r="K31" s="87">
        <f>K30+1</f>
        <v>2</v>
      </c>
      <c r="L31" s="81">
        <f>L30</f>
        <v>75</v>
      </c>
      <c r="M31" s="82" t="str">
        <f>O5</f>
        <v>1/200</v>
      </c>
      <c r="N31" s="83" t="str">
        <f>N5</f>
        <v xml:space="preserve">Чай с сахаром </v>
      </c>
      <c r="O31" s="84">
        <f t="shared" ref="O31:O34" si="15">Q31/2.5</f>
        <v>2.544</v>
      </c>
      <c r="P31" s="84">
        <f t="shared" ref="P31:P34" si="16">O31*L31</f>
        <v>190.8</v>
      </c>
      <c r="Q31" s="88">
        <v>6.36</v>
      </c>
      <c r="R31" s="84">
        <f t="shared" ref="R31:R34" si="17">Q31*L31</f>
        <v>477</v>
      </c>
      <c r="S31" s="84">
        <f t="shared" ref="S31:S34" si="18">P5</f>
        <v>8</v>
      </c>
      <c r="T31" s="86">
        <f t="shared" ref="T31:T34" si="19">S31*L31</f>
        <v>600</v>
      </c>
    </row>
    <row r="32" spans="1:20" s="74" customFormat="1" ht="15" customHeight="1" x14ac:dyDescent="0.25">
      <c r="A32" s="80">
        <f t="shared" ref="A32:A34" si="20">A31+1</f>
        <v>3</v>
      </c>
      <c r="B32" s="81">
        <f t="shared" ref="B32:B34" si="21">B31</f>
        <v>32</v>
      </c>
      <c r="C32" s="82" t="str">
        <f>E6</f>
        <v>1/30</v>
      </c>
      <c r="D32" s="83" t="str">
        <f>D6</f>
        <v>Батон</v>
      </c>
      <c r="E32" s="84">
        <f t="shared" si="10"/>
        <v>3.3759999999999999</v>
      </c>
      <c r="F32" s="84">
        <f t="shared" si="11"/>
        <v>108.032</v>
      </c>
      <c r="G32" s="85">
        <v>8.44</v>
      </c>
      <c r="H32" s="84">
        <f t="shared" si="12"/>
        <v>270.08</v>
      </c>
      <c r="I32" s="84">
        <f t="shared" si="13"/>
        <v>9.1999999999999993</v>
      </c>
      <c r="J32" s="86">
        <f t="shared" si="14"/>
        <v>294.39999999999998</v>
      </c>
      <c r="K32" s="87">
        <f t="shared" ref="K32:K34" si="22">K31+1</f>
        <v>3</v>
      </c>
      <c r="L32" s="81">
        <f t="shared" ref="L32:L34" si="23">L31</f>
        <v>75</v>
      </c>
      <c r="M32" s="82" t="str">
        <f>O6</f>
        <v>1/30</v>
      </c>
      <c r="N32" s="83" t="str">
        <f>N6</f>
        <v>Батон</v>
      </c>
      <c r="O32" s="84">
        <f t="shared" si="15"/>
        <v>3.3759999999999999</v>
      </c>
      <c r="P32" s="84">
        <f t="shared" si="16"/>
        <v>253.2</v>
      </c>
      <c r="Q32" s="85">
        <v>8.44</v>
      </c>
      <c r="R32" s="84">
        <f t="shared" si="17"/>
        <v>633</v>
      </c>
      <c r="S32" s="84">
        <f t="shared" si="18"/>
        <v>9.1999999999999993</v>
      </c>
      <c r="T32" s="86">
        <f t="shared" si="19"/>
        <v>690</v>
      </c>
    </row>
    <row r="33" spans="1:20" s="74" customFormat="1" ht="15" customHeight="1" x14ac:dyDescent="0.25">
      <c r="A33" s="80">
        <f t="shared" si="20"/>
        <v>4</v>
      </c>
      <c r="B33" s="81">
        <f t="shared" si="21"/>
        <v>32</v>
      </c>
      <c r="C33" s="82" t="str">
        <f>E7</f>
        <v>1/10</v>
      </c>
      <c r="D33" s="83" t="str">
        <f>D7</f>
        <v>Масло сливочное</v>
      </c>
      <c r="E33" s="84">
        <f t="shared" si="10"/>
        <v>3.8520000000000003</v>
      </c>
      <c r="F33" s="84">
        <f t="shared" si="11"/>
        <v>123.26400000000001</v>
      </c>
      <c r="G33" s="85">
        <v>9.6300000000000008</v>
      </c>
      <c r="H33" s="84">
        <f t="shared" si="12"/>
        <v>308.16000000000003</v>
      </c>
      <c r="I33" s="84">
        <f t="shared" si="13"/>
        <v>10</v>
      </c>
      <c r="J33" s="86">
        <f t="shared" si="14"/>
        <v>320</v>
      </c>
      <c r="K33" s="87">
        <f t="shared" si="22"/>
        <v>4</v>
      </c>
      <c r="L33" s="81">
        <f t="shared" si="23"/>
        <v>75</v>
      </c>
      <c r="M33" s="82" t="str">
        <f>O7</f>
        <v>1/10</v>
      </c>
      <c r="N33" s="83" t="str">
        <f>N7</f>
        <v>Масло сливочное</v>
      </c>
      <c r="O33" s="84">
        <f t="shared" si="15"/>
        <v>3.8520000000000003</v>
      </c>
      <c r="P33" s="84">
        <f t="shared" si="16"/>
        <v>288.90000000000003</v>
      </c>
      <c r="Q33" s="85">
        <v>9.6300000000000008</v>
      </c>
      <c r="R33" s="84">
        <f t="shared" si="17"/>
        <v>722.25000000000011</v>
      </c>
      <c r="S33" s="84">
        <f t="shared" si="18"/>
        <v>10</v>
      </c>
      <c r="T33" s="86">
        <f t="shared" si="19"/>
        <v>750</v>
      </c>
    </row>
    <row r="34" spans="1:20" s="74" customFormat="1" ht="15" customHeight="1" x14ac:dyDescent="0.25">
      <c r="A34" s="80">
        <f t="shared" si="20"/>
        <v>5</v>
      </c>
      <c r="B34" s="81">
        <f t="shared" si="21"/>
        <v>32</v>
      </c>
      <c r="C34" s="82" t="str">
        <f>E8</f>
        <v>1/10</v>
      </c>
      <c r="D34" s="83" t="str">
        <f>D8</f>
        <v>Сыр</v>
      </c>
      <c r="E34" s="84">
        <f t="shared" si="10"/>
        <v>2.992</v>
      </c>
      <c r="F34" s="84">
        <f t="shared" si="11"/>
        <v>95.744</v>
      </c>
      <c r="G34" s="85">
        <v>7.48</v>
      </c>
      <c r="H34" s="84">
        <f t="shared" si="12"/>
        <v>239.36</v>
      </c>
      <c r="I34" s="84">
        <f t="shared" si="13"/>
        <v>13</v>
      </c>
      <c r="J34" s="86">
        <f t="shared" si="14"/>
        <v>416</v>
      </c>
      <c r="K34" s="87">
        <f t="shared" si="22"/>
        <v>5</v>
      </c>
      <c r="L34" s="81">
        <f t="shared" si="23"/>
        <v>75</v>
      </c>
      <c r="M34" s="82" t="str">
        <f>O8</f>
        <v>1/10</v>
      </c>
      <c r="N34" s="83" t="str">
        <f>N8</f>
        <v>Сыр</v>
      </c>
      <c r="O34" s="84">
        <f t="shared" si="15"/>
        <v>2.992</v>
      </c>
      <c r="P34" s="84">
        <f t="shared" si="16"/>
        <v>224.4</v>
      </c>
      <c r="Q34" s="85">
        <v>7.48</v>
      </c>
      <c r="R34" s="84">
        <f t="shared" si="17"/>
        <v>561</v>
      </c>
      <c r="S34" s="84">
        <f t="shared" si="18"/>
        <v>13</v>
      </c>
      <c r="T34" s="86">
        <f t="shared" si="19"/>
        <v>975</v>
      </c>
    </row>
    <row r="35" spans="1:20" s="74" customFormat="1" ht="15" customHeight="1" x14ac:dyDescent="0.25">
      <c r="A35" s="80"/>
      <c r="B35" s="89"/>
      <c r="C35" s="90"/>
      <c r="D35" s="91"/>
      <c r="E35" s="84"/>
      <c r="F35" s="84"/>
      <c r="G35" s="84"/>
      <c r="H35" s="84"/>
      <c r="I35" s="84"/>
      <c r="J35" s="86"/>
      <c r="K35" s="87"/>
      <c r="L35" s="89"/>
      <c r="M35" s="90"/>
      <c r="N35" s="91"/>
      <c r="O35" s="84"/>
      <c r="P35" s="84"/>
      <c r="Q35" s="84"/>
      <c r="R35" s="84"/>
      <c r="S35" s="84"/>
      <c r="T35" s="86"/>
    </row>
    <row r="36" spans="1:20" s="74" customFormat="1" ht="15" customHeight="1" x14ac:dyDescent="0.25">
      <c r="A36" s="80"/>
      <c r="B36" s="92" t="s">
        <v>76</v>
      </c>
      <c r="C36" s="93"/>
      <c r="D36" s="90"/>
      <c r="E36" s="94">
        <f>SUM(E30:E35)</f>
        <v>27.300000000000004</v>
      </c>
      <c r="F36" s="94">
        <f>SUM(F30:F35)</f>
        <v>873.60000000000014</v>
      </c>
      <c r="G36" s="94">
        <f>SUM(G30:G35)</f>
        <v>68.25</v>
      </c>
      <c r="H36" s="94">
        <f>SUM(H30:H35)</f>
        <v>2184</v>
      </c>
      <c r="I36" s="94">
        <f>F9</f>
        <v>107.27</v>
      </c>
      <c r="J36" s="95">
        <f>I36*B30</f>
        <v>3432.64</v>
      </c>
      <c r="K36" s="87"/>
      <c r="L36" s="92" t="s">
        <v>76</v>
      </c>
      <c r="M36" s="93"/>
      <c r="N36" s="90"/>
      <c r="O36" s="94">
        <f>SUM(O30:O35)</f>
        <v>32.605600000000003</v>
      </c>
      <c r="P36" s="94">
        <f>SUM(P30:P35)</f>
        <v>2445.4200000000005</v>
      </c>
      <c r="Q36" s="94">
        <f>SUM(Q30:Q35)</f>
        <v>81.51400000000001</v>
      </c>
      <c r="R36" s="94">
        <f>SUM(R30:R35)</f>
        <v>6113.5500000000011</v>
      </c>
      <c r="S36" s="94">
        <f>P9</f>
        <v>129.4</v>
      </c>
      <c r="T36" s="95">
        <f>S36*L30</f>
        <v>9705</v>
      </c>
    </row>
    <row r="37" spans="1:20" s="74" customFormat="1" ht="15" customHeight="1" x14ac:dyDescent="0.25">
      <c r="A37" s="80"/>
      <c r="B37" s="93" t="str">
        <f>A10</f>
        <v>Обед</v>
      </c>
      <c r="C37" s="96" t="s">
        <v>77</v>
      </c>
      <c r="D37" s="97"/>
      <c r="E37" s="84"/>
      <c r="F37" s="84"/>
      <c r="G37" s="84"/>
      <c r="H37" s="84"/>
      <c r="I37" s="84"/>
      <c r="J37" s="86"/>
      <c r="K37" s="87"/>
      <c r="L37" s="93" t="str">
        <f>K10</f>
        <v>Обед</v>
      </c>
      <c r="M37" s="96" t="s">
        <v>77</v>
      </c>
      <c r="N37" s="97"/>
      <c r="O37" s="84"/>
      <c r="P37" s="84"/>
      <c r="Q37" s="84"/>
      <c r="R37" s="84"/>
      <c r="S37" s="84"/>
      <c r="T37" s="86"/>
    </row>
    <row r="38" spans="1:20" s="74" customFormat="1" ht="15" customHeight="1" x14ac:dyDescent="0.25">
      <c r="A38" s="87">
        <v>1</v>
      </c>
      <c r="B38" s="98">
        <f>C10</f>
        <v>32</v>
      </c>
      <c r="C38" s="99" t="str">
        <f t="shared" ref="C38:C44" si="24">E10</f>
        <v>0,015</v>
      </c>
      <c r="D38" s="100" t="str">
        <f t="shared" ref="D38:D44" si="25">D10</f>
        <v>Огурцы свежие</v>
      </c>
      <c r="E38" s="84">
        <f t="shared" ref="E38:E44" si="26">G38/2.5</f>
        <v>2.3719999999999999</v>
      </c>
      <c r="F38" s="84">
        <f t="shared" ref="F38:F44" si="27">E38*B38</f>
        <v>75.903999999999996</v>
      </c>
      <c r="G38" s="85">
        <v>5.93</v>
      </c>
      <c r="H38" s="84">
        <f t="shared" ref="H38:H44" si="28">G38*B38</f>
        <v>189.76</v>
      </c>
      <c r="I38" s="84">
        <f>F10</f>
        <v>7.5</v>
      </c>
      <c r="J38" s="86">
        <f t="shared" ref="J38:J44" si="29">I38*B38</f>
        <v>240</v>
      </c>
      <c r="K38" s="87">
        <v>1</v>
      </c>
      <c r="L38" s="98">
        <f>M10</f>
        <v>78</v>
      </c>
      <c r="M38" s="99" t="str">
        <f t="shared" ref="M38:M44" si="30">O10</f>
        <v>0,015</v>
      </c>
      <c r="N38" s="100" t="str">
        <f t="shared" ref="N38:N44" si="31">N10</f>
        <v>Огурцы свежие</v>
      </c>
      <c r="O38" s="84">
        <f t="shared" ref="O38:O44" si="32">Q38/2.5</f>
        <v>2.3719999999999999</v>
      </c>
      <c r="P38" s="84">
        <f t="shared" ref="P38:P44" si="33">O38*L38</f>
        <v>185.01599999999999</v>
      </c>
      <c r="Q38" s="85">
        <v>5.93</v>
      </c>
      <c r="R38" s="84">
        <f t="shared" ref="R38:R44" si="34">Q38*L38</f>
        <v>462.53999999999996</v>
      </c>
      <c r="S38" s="84">
        <f>P10</f>
        <v>7.5</v>
      </c>
      <c r="T38" s="86">
        <f t="shared" ref="T38:T44" si="35">S38*L38</f>
        <v>585</v>
      </c>
    </row>
    <row r="39" spans="1:20" s="74" customFormat="1" ht="15" customHeight="1" x14ac:dyDescent="0.25">
      <c r="A39" s="87">
        <f t="shared" ref="A39:A44" si="36">A38+1</f>
        <v>2</v>
      </c>
      <c r="B39" s="81">
        <f t="shared" ref="B39:B44" si="37">B38</f>
        <v>32</v>
      </c>
      <c r="C39" s="99" t="str">
        <f t="shared" si="24"/>
        <v>250/15</v>
      </c>
      <c r="D39" s="100" t="str">
        <f t="shared" si="25"/>
        <v>Суп овощной с курицей</v>
      </c>
      <c r="E39" s="84">
        <f t="shared" si="26"/>
        <v>29.016000000000002</v>
      </c>
      <c r="F39" s="84">
        <f t="shared" si="27"/>
        <v>928.51200000000006</v>
      </c>
      <c r="G39" s="101">
        <v>72.540000000000006</v>
      </c>
      <c r="H39" s="84">
        <f t="shared" si="28"/>
        <v>2321.2800000000002</v>
      </c>
      <c r="I39" s="84">
        <f t="shared" ref="I39:I44" si="38">F11</f>
        <v>75</v>
      </c>
      <c r="J39" s="86">
        <f t="shared" si="29"/>
        <v>2400</v>
      </c>
      <c r="K39" s="87">
        <f t="shared" ref="K39:K44" si="39">K38+1</f>
        <v>2</v>
      </c>
      <c r="L39" s="81">
        <f t="shared" ref="L39:L44" si="40">L38</f>
        <v>78</v>
      </c>
      <c r="M39" s="99" t="str">
        <f t="shared" si="30"/>
        <v>250/25</v>
      </c>
      <c r="N39" s="100" t="str">
        <f t="shared" si="31"/>
        <v>Суп овощной с курицей</v>
      </c>
      <c r="O39" s="84">
        <f t="shared" si="32"/>
        <v>31.016000000000002</v>
      </c>
      <c r="P39" s="84">
        <f t="shared" si="33"/>
        <v>2419.248</v>
      </c>
      <c r="Q39" s="101">
        <f>72.54+5</f>
        <v>77.540000000000006</v>
      </c>
      <c r="R39" s="84">
        <f t="shared" si="34"/>
        <v>6048.1200000000008</v>
      </c>
      <c r="S39" s="84">
        <f t="shared" ref="S39:S44" si="41">P11</f>
        <v>83.86</v>
      </c>
      <c r="T39" s="86">
        <f t="shared" si="35"/>
        <v>6541.08</v>
      </c>
    </row>
    <row r="40" spans="1:20" s="74" customFormat="1" ht="15" customHeight="1" x14ac:dyDescent="0.25">
      <c r="A40" s="80">
        <f t="shared" si="36"/>
        <v>3</v>
      </c>
      <c r="B40" s="81">
        <f t="shared" si="37"/>
        <v>32</v>
      </c>
      <c r="C40" s="99" t="str">
        <f t="shared" si="24"/>
        <v>75/50</v>
      </c>
      <c r="D40" s="100" t="str">
        <f t="shared" si="25"/>
        <v>Тефтели мясные с соусом</v>
      </c>
      <c r="E40" s="84">
        <f t="shared" si="26"/>
        <v>31.78</v>
      </c>
      <c r="F40" s="84">
        <f t="shared" si="27"/>
        <v>1016.96</v>
      </c>
      <c r="G40" s="85">
        <v>79.45</v>
      </c>
      <c r="H40" s="84">
        <f t="shared" si="28"/>
        <v>2542.4</v>
      </c>
      <c r="I40" s="84">
        <f t="shared" si="38"/>
        <v>64.36999999999999</v>
      </c>
      <c r="J40" s="86">
        <f t="shared" si="29"/>
        <v>2059.8399999999997</v>
      </c>
      <c r="K40" s="87">
        <f t="shared" si="39"/>
        <v>3</v>
      </c>
      <c r="L40" s="81">
        <f t="shared" si="40"/>
        <v>78</v>
      </c>
      <c r="M40" s="99" t="str">
        <f t="shared" si="30"/>
        <v>75/50</v>
      </c>
      <c r="N40" s="100" t="str">
        <f t="shared" si="31"/>
        <v>Тефтели мясные с соусом</v>
      </c>
      <c r="O40" s="84">
        <f t="shared" si="32"/>
        <v>31.78</v>
      </c>
      <c r="P40" s="84">
        <f t="shared" si="33"/>
        <v>2478.84</v>
      </c>
      <c r="Q40" s="85">
        <v>79.45</v>
      </c>
      <c r="R40" s="84">
        <f t="shared" si="34"/>
        <v>6197.1</v>
      </c>
      <c r="S40" s="84">
        <f t="shared" si="41"/>
        <v>64.36999999999999</v>
      </c>
      <c r="T40" s="86">
        <f t="shared" si="35"/>
        <v>5020.8599999999997</v>
      </c>
    </row>
    <row r="41" spans="1:20" s="74" customFormat="1" ht="15" customHeight="1" x14ac:dyDescent="0.25">
      <c r="A41" s="80">
        <f t="shared" si="36"/>
        <v>4</v>
      </c>
      <c r="B41" s="81">
        <f t="shared" si="37"/>
        <v>32</v>
      </c>
      <c r="C41" s="99" t="str">
        <f t="shared" si="24"/>
        <v>1/150</v>
      </c>
      <c r="D41" s="100" t="str">
        <f t="shared" si="25"/>
        <v>Макаронные изделия отварные</v>
      </c>
      <c r="E41" s="84">
        <f t="shared" si="26"/>
        <v>4.74</v>
      </c>
      <c r="F41" s="84">
        <f t="shared" si="27"/>
        <v>151.68</v>
      </c>
      <c r="G41" s="85">
        <v>11.85</v>
      </c>
      <c r="H41" s="84">
        <f t="shared" si="28"/>
        <v>379.2</v>
      </c>
      <c r="I41" s="84">
        <f t="shared" si="38"/>
        <v>15</v>
      </c>
      <c r="J41" s="86">
        <f t="shared" si="29"/>
        <v>480</v>
      </c>
      <c r="K41" s="87">
        <f t="shared" si="39"/>
        <v>4</v>
      </c>
      <c r="L41" s="81">
        <f t="shared" si="40"/>
        <v>78</v>
      </c>
      <c r="M41" s="99" t="str">
        <f t="shared" si="30"/>
        <v>1/180</v>
      </c>
      <c r="N41" s="100" t="str">
        <f t="shared" si="31"/>
        <v>Макаронные изделия отварные</v>
      </c>
      <c r="O41" s="84">
        <f t="shared" si="32"/>
        <v>5.6879999999999997</v>
      </c>
      <c r="P41" s="84">
        <f t="shared" si="33"/>
        <v>443.66399999999999</v>
      </c>
      <c r="Q41" s="85">
        <f>11.85/15*18</f>
        <v>14.219999999999999</v>
      </c>
      <c r="R41" s="84">
        <f t="shared" si="34"/>
        <v>1109.1599999999999</v>
      </c>
      <c r="S41" s="84">
        <f t="shared" si="41"/>
        <v>18</v>
      </c>
      <c r="T41" s="86">
        <f t="shared" si="35"/>
        <v>1404</v>
      </c>
    </row>
    <row r="42" spans="1:20" s="74" customFormat="1" ht="15" customHeight="1" x14ac:dyDescent="0.25">
      <c r="A42" s="80">
        <f t="shared" si="36"/>
        <v>5</v>
      </c>
      <c r="B42" s="81">
        <f t="shared" si="37"/>
        <v>32</v>
      </c>
      <c r="C42" s="99" t="str">
        <f t="shared" si="24"/>
        <v>1/200</v>
      </c>
      <c r="D42" s="100" t="str">
        <f t="shared" si="25"/>
        <v>Компот из сухофруктов</v>
      </c>
      <c r="E42" s="84">
        <f t="shared" si="26"/>
        <v>8</v>
      </c>
      <c r="F42" s="84">
        <f t="shared" si="27"/>
        <v>256</v>
      </c>
      <c r="G42" s="85">
        <v>20</v>
      </c>
      <c r="H42" s="84">
        <f t="shared" si="28"/>
        <v>640</v>
      </c>
      <c r="I42" s="84">
        <f t="shared" si="38"/>
        <v>24</v>
      </c>
      <c r="J42" s="86">
        <f t="shared" si="29"/>
        <v>768</v>
      </c>
      <c r="K42" s="87">
        <f t="shared" si="39"/>
        <v>5</v>
      </c>
      <c r="L42" s="81">
        <f t="shared" si="40"/>
        <v>78</v>
      </c>
      <c r="M42" s="99" t="str">
        <f t="shared" si="30"/>
        <v>1/200</v>
      </c>
      <c r="N42" s="100" t="str">
        <f t="shared" si="31"/>
        <v>Компот из сухофруктов</v>
      </c>
      <c r="O42" s="84">
        <f t="shared" si="32"/>
        <v>8</v>
      </c>
      <c r="P42" s="84">
        <f t="shared" si="33"/>
        <v>624</v>
      </c>
      <c r="Q42" s="85">
        <v>20</v>
      </c>
      <c r="R42" s="84">
        <f t="shared" si="34"/>
        <v>1560</v>
      </c>
      <c r="S42" s="84">
        <f t="shared" si="41"/>
        <v>24</v>
      </c>
      <c r="T42" s="86">
        <f t="shared" si="35"/>
        <v>1872</v>
      </c>
    </row>
    <row r="43" spans="1:20" s="74" customFormat="1" ht="15" customHeight="1" x14ac:dyDescent="0.25">
      <c r="A43" s="80">
        <f t="shared" si="36"/>
        <v>6</v>
      </c>
      <c r="B43" s="81">
        <f t="shared" si="37"/>
        <v>32</v>
      </c>
      <c r="C43" s="99" t="str">
        <f t="shared" si="24"/>
        <v>0,030</v>
      </c>
      <c r="D43" s="100" t="str">
        <f t="shared" si="25"/>
        <v>Хлеб пшеничный</v>
      </c>
      <c r="E43" s="84">
        <f t="shared" si="26"/>
        <v>2.4</v>
      </c>
      <c r="F43" s="84">
        <f t="shared" si="27"/>
        <v>76.8</v>
      </c>
      <c r="G43" s="85">
        <v>6</v>
      </c>
      <c r="H43" s="84">
        <f t="shared" si="28"/>
        <v>192</v>
      </c>
      <c r="I43" s="84">
        <f t="shared" si="38"/>
        <v>6</v>
      </c>
      <c r="J43" s="86">
        <f t="shared" si="29"/>
        <v>192</v>
      </c>
      <c r="K43" s="87">
        <f t="shared" si="39"/>
        <v>6</v>
      </c>
      <c r="L43" s="81">
        <f t="shared" si="40"/>
        <v>78</v>
      </c>
      <c r="M43" s="99" t="str">
        <f t="shared" si="30"/>
        <v>0,030</v>
      </c>
      <c r="N43" s="100" t="str">
        <f t="shared" si="31"/>
        <v>Хлеб пшеничный</v>
      </c>
      <c r="O43" s="84">
        <f t="shared" si="32"/>
        <v>2.4</v>
      </c>
      <c r="P43" s="84">
        <f t="shared" si="33"/>
        <v>187.2</v>
      </c>
      <c r="Q43" s="85">
        <v>6</v>
      </c>
      <c r="R43" s="84">
        <f t="shared" si="34"/>
        <v>468</v>
      </c>
      <c r="S43" s="84">
        <f t="shared" si="41"/>
        <v>6</v>
      </c>
      <c r="T43" s="86">
        <f t="shared" si="35"/>
        <v>468</v>
      </c>
    </row>
    <row r="44" spans="1:20" s="74" customFormat="1" ht="15" customHeight="1" x14ac:dyDescent="0.25">
      <c r="A44" s="80">
        <f t="shared" si="36"/>
        <v>7</v>
      </c>
      <c r="B44" s="81">
        <f t="shared" si="37"/>
        <v>32</v>
      </c>
      <c r="C44" s="99" t="str">
        <f t="shared" si="24"/>
        <v>0,030</v>
      </c>
      <c r="D44" s="100" t="str">
        <f t="shared" si="25"/>
        <v>Хлеб ржано-пшеничный</v>
      </c>
      <c r="E44" s="84">
        <f t="shared" si="26"/>
        <v>2.4</v>
      </c>
      <c r="F44" s="84">
        <f t="shared" si="27"/>
        <v>76.8</v>
      </c>
      <c r="G44" s="85">
        <v>6</v>
      </c>
      <c r="H44" s="84">
        <f t="shared" si="28"/>
        <v>192</v>
      </c>
      <c r="I44" s="84">
        <f t="shared" si="38"/>
        <v>6</v>
      </c>
      <c r="J44" s="86">
        <f t="shared" si="29"/>
        <v>192</v>
      </c>
      <c r="K44" s="87">
        <f t="shared" si="39"/>
        <v>7</v>
      </c>
      <c r="L44" s="81">
        <f t="shared" si="40"/>
        <v>78</v>
      </c>
      <c r="M44" s="99" t="str">
        <f t="shared" si="30"/>
        <v>0,030</v>
      </c>
      <c r="N44" s="100" t="str">
        <f t="shared" si="31"/>
        <v>Хлеб ржано-пшеничный</v>
      </c>
      <c r="O44" s="84">
        <f t="shared" si="32"/>
        <v>2.4</v>
      </c>
      <c r="P44" s="84">
        <f t="shared" si="33"/>
        <v>187.2</v>
      </c>
      <c r="Q44" s="85">
        <v>6</v>
      </c>
      <c r="R44" s="84">
        <f t="shared" si="34"/>
        <v>468</v>
      </c>
      <c r="S44" s="84">
        <f t="shared" si="41"/>
        <v>6</v>
      </c>
      <c r="T44" s="86">
        <f t="shared" si="35"/>
        <v>468</v>
      </c>
    </row>
    <row r="45" spans="1:20" s="74" customFormat="1" ht="15" customHeight="1" x14ac:dyDescent="0.25">
      <c r="A45" s="80"/>
      <c r="B45" s="89"/>
      <c r="C45" s="90"/>
      <c r="D45" s="84"/>
      <c r="E45" s="84"/>
      <c r="F45" s="84"/>
      <c r="G45" s="84"/>
      <c r="H45" s="84"/>
      <c r="I45" s="84"/>
      <c r="J45" s="86"/>
      <c r="K45" s="87"/>
      <c r="L45" s="89"/>
      <c r="M45" s="90"/>
      <c r="N45" s="84"/>
      <c r="O45" s="84"/>
      <c r="P45" s="84"/>
      <c r="Q45" s="84"/>
      <c r="R45" s="84"/>
      <c r="S45" s="84"/>
      <c r="T45" s="86"/>
    </row>
    <row r="46" spans="1:20" s="74" customFormat="1" ht="15" customHeight="1" x14ac:dyDescent="0.25">
      <c r="A46" s="80"/>
      <c r="B46" s="92" t="s">
        <v>76</v>
      </c>
      <c r="C46" s="93"/>
      <c r="D46" s="90"/>
      <c r="E46" s="94">
        <f>SUM(E38:E44)</f>
        <v>80.708000000000013</v>
      </c>
      <c r="F46" s="94">
        <f t="shared" ref="F46:H46" si="42">SUM(F38:F44)</f>
        <v>2582.6560000000004</v>
      </c>
      <c r="G46" s="94">
        <f t="shared" si="42"/>
        <v>201.77</v>
      </c>
      <c r="H46" s="94">
        <f t="shared" si="42"/>
        <v>6456.64</v>
      </c>
      <c r="I46" s="94">
        <f>F17</f>
        <v>197.87</v>
      </c>
      <c r="J46" s="95">
        <f>I46*B40</f>
        <v>6331.84</v>
      </c>
      <c r="K46" s="87"/>
      <c r="L46" s="92" t="s">
        <v>76</v>
      </c>
      <c r="M46" s="93"/>
      <c r="N46" s="90"/>
      <c r="O46" s="94">
        <f>SUM(O38:O44)</f>
        <v>83.65600000000002</v>
      </c>
      <c r="P46" s="94">
        <f t="shared" ref="P46:R46" si="43">SUM(P38:P44)</f>
        <v>6525.1679999999997</v>
      </c>
      <c r="Q46" s="94">
        <f t="shared" si="43"/>
        <v>209.14000000000001</v>
      </c>
      <c r="R46" s="94">
        <f t="shared" si="43"/>
        <v>16312.920000000002</v>
      </c>
      <c r="S46" s="94">
        <f>P17</f>
        <v>209.73</v>
      </c>
      <c r="T46" s="95">
        <f>S46*L40</f>
        <v>16358.939999999999</v>
      </c>
    </row>
    <row r="47" spans="1:20" s="74" customFormat="1" ht="15" customHeight="1" x14ac:dyDescent="0.25">
      <c r="A47" s="80"/>
      <c r="B47" s="93" t="str">
        <f>A18</f>
        <v>Полдник</v>
      </c>
      <c r="C47" s="90"/>
      <c r="D47" s="90"/>
      <c r="E47" s="84"/>
      <c r="F47" s="84"/>
      <c r="G47" s="84"/>
      <c r="H47" s="84"/>
      <c r="I47" s="84"/>
      <c r="J47" s="95"/>
      <c r="K47" s="87"/>
      <c r="L47" s="93" t="str">
        <f>K18</f>
        <v>Полдник</v>
      </c>
      <c r="M47" s="90"/>
      <c r="N47" s="90"/>
      <c r="O47" s="84"/>
      <c r="P47" s="84"/>
      <c r="Q47" s="84"/>
      <c r="R47" s="84"/>
      <c r="S47" s="84"/>
      <c r="T47" s="95"/>
    </row>
    <row r="48" spans="1:20" s="74" customFormat="1" ht="15" customHeight="1" x14ac:dyDescent="0.25">
      <c r="A48" s="80">
        <f>A47+1</f>
        <v>1</v>
      </c>
      <c r="B48" s="81">
        <f>C18</f>
        <v>30</v>
      </c>
      <c r="C48" s="82" t="str">
        <f>E18</f>
        <v>1/200</v>
      </c>
      <c r="D48" s="83" t="str">
        <f>D18</f>
        <v>Сок фруктовый</v>
      </c>
      <c r="E48" s="84">
        <f t="shared" ref="E48:E49" si="44">G48/2.5</f>
        <v>10</v>
      </c>
      <c r="F48" s="84">
        <f t="shared" ref="F48:F49" si="45">E48*B48</f>
        <v>300</v>
      </c>
      <c r="G48" s="85">
        <v>25</v>
      </c>
      <c r="H48" s="84">
        <f t="shared" ref="H48:H49" si="46">G48*B48</f>
        <v>750</v>
      </c>
      <c r="I48" s="84">
        <f>F18</f>
        <v>53</v>
      </c>
      <c r="J48" s="86">
        <f t="shared" ref="J48:J49" si="47">I48*B48</f>
        <v>1590</v>
      </c>
      <c r="K48" s="87">
        <f>K47+1</f>
        <v>1</v>
      </c>
      <c r="L48" s="81">
        <f>M18</f>
        <v>5</v>
      </c>
      <c r="M48" s="82" t="str">
        <f>O18</f>
        <v>1 шт</v>
      </c>
      <c r="N48" s="83" t="str">
        <f>N18</f>
        <v>Сок 0,2</v>
      </c>
      <c r="O48" s="84">
        <f t="shared" ref="O48:O49" si="48">Q48/2.5</f>
        <v>13</v>
      </c>
      <c r="P48" s="84">
        <f t="shared" ref="P48:P49" si="49">O48*L48</f>
        <v>65</v>
      </c>
      <c r="Q48" s="85">
        <v>32.5</v>
      </c>
      <c r="R48" s="84">
        <f t="shared" ref="R48:R49" si="50">Q48*L48</f>
        <v>162.5</v>
      </c>
      <c r="S48" s="84">
        <f>P18</f>
        <v>62</v>
      </c>
      <c r="T48" s="86">
        <f t="shared" ref="T48:T49" si="51">S48*L48</f>
        <v>310</v>
      </c>
    </row>
    <row r="49" spans="1:20" s="74" customFormat="1" ht="15" customHeight="1" x14ac:dyDescent="0.25">
      <c r="A49" s="80">
        <f>A48+1</f>
        <v>2</v>
      </c>
      <c r="B49" s="81">
        <f>B48</f>
        <v>30</v>
      </c>
      <c r="C49" s="82" t="str">
        <f>E19</f>
        <v>1/50</v>
      </c>
      <c r="D49" s="83" t="str">
        <f>D19</f>
        <v>Печенье весовое</v>
      </c>
      <c r="E49" s="84">
        <f t="shared" si="44"/>
        <v>6</v>
      </c>
      <c r="F49" s="84">
        <f t="shared" si="45"/>
        <v>180</v>
      </c>
      <c r="G49" s="88">
        <v>15</v>
      </c>
      <c r="H49" s="84">
        <f t="shared" si="46"/>
        <v>450</v>
      </c>
      <c r="I49" s="84">
        <f>F19</f>
        <v>36.6</v>
      </c>
      <c r="J49" s="86">
        <f t="shared" si="47"/>
        <v>1098</v>
      </c>
      <c r="K49" s="87">
        <f>K48+1</f>
        <v>2</v>
      </c>
      <c r="L49" s="81">
        <f>L48</f>
        <v>5</v>
      </c>
      <c r="M49" s="82" t="str">
        <f>O19</f>
        <v>1/50</v>
      </c>
      <c r="N49" s="83" t="str">
        <f>N19</f>
        <v>Печенье весовое</v>
      </c>
      <c r="O49" s="84">
        <f t="shared" si="48"/>
        <v>6</v>
      </c>
      <c r="P49" s="84">
        <f t="shared" si="49"/>
        <v>30</v>
      </c>
      <c r="Q49" s="88">
        <v>15</v>
      </c>
      <c r="R49" s="84">
        <f t="shared" si="50"/>
        <v>75</v>
      </c>
      <c r="S49" s="84">
        <f>P19</f>
        <v>36.6</v>
      </c>
      <c r="T49" s="86">
        <f t="shared" si="51"/>
        <v>183</v>
      </c>
    </row>
    <row r="50" spans="1:20" s="74" customFormat="1" ht="15" customHeight="1" x14ac:dyDescent="0.25">
      <c r="A50" s="80"/>
      <c r="B50" s="89"/>
      <c r="C50" s="91"/>
      <c r="D50" s="90"/>
      <c r="E50" s="84"/>
      <c r="F50" s="84"/>
      <c r="G50" s="84"/>
      <c r="H50" s="84"/>
      <c r="I50" s="84"/>
      <c r="J50" s="86"/>
      <c r="K50" s="102"/>
      <c r="L50" s="89"/>
      <c r="M50" s="91"/>
      <c r="N50" s="90"/>
      <c r="O50" s="84"/>
      <c r="P50" s="84"/>
      <c r="Q50" s="84"/>
      <c r="R50" s="84"/>
      <c r="S50" s="84"/>
      <c r="T50" s="86"/>
    </row>
    <row r="51" spans="1:20" s="74" customFormat="1" ht="15" customHeight="1" thickBot="1" x14ac:dyDescent="0.3">
      <c r="A51" s="103"/>
      <c r="B51" s="104" t="s">
        <v>76</v>
      </c>
      <c r="C51" s="105"/>
      <c r="D51" s="105"/>
      <c r="E51" s="106">
        <f>SUM(E48:E50)</f>
        <v>16</v>
      </c>
      <c r="F51" s="106">
        <f t="shared" ref="F51:H51" si="52">SUM(F48:F50)</f>
        <v>480</v>
      </c>
      <c r="G51" s="106">
        <f t="shared" si="52"/>
        <v>40</v>
      </c>
      <c r="H51" s="106">
        <f t="shared" si="52"/>
        <v>1200</v>
      </c>
      <c r="I51" s="106">
        <f>F20</f>
        <v>89.6</v>
      </c>
      <c r="J51" s="107">
        <f>I51*B48</f>
        <v>2688</v>
      </c>
      <c r="K51" s="103"/>
      <c r="L51" s="104" t="s">
        <v>76</v>
      </c>
      <c r="M51" s="105"/>
      <c r="N51" s="105"/>
      <c r="O51" s="106">
        <f>SUM(O48:O50)</f>
        <v>19</v>
      </c>
      <c r="P51" s="106">
        <f t="shared" ref="P51:R51" si="53">SUM(P48:P50)</f>
        <v>95</v>
      </c>
      <c r="Q51" s="106">
        <f t="shared" si="53"/>
        <v>47.5</v>
      </c>
      <c r="R51" s="106">
        <f t="shared" si="53"/>
        <v>237.5</v>
      </c>
      <c r="S51" s="106">
        <f>P20</f>
        <v>98.6</v>
      </c>
      <c r="T51" s="107">
        <f>S51*L48</f>
        <v>493</v>
      </c>
    </row>
    <row r="52" spans="1:20" s="74" customFormat="1" ht="15" customHeight="1" x14ac:dyDescent="0.25">
      <c r="A52" s="108"/>
      <c r="B52" s="109" t="s">
        <v>78</v>
      </c>
      <c r="C52" s="110"/>
      <c r="D52" s="111"/>
      <c r="E52" s="112">
        <f>E36+E46+E51</f>
        <v>124.00800000000001</v>
      </c>
      <c r="F52" s="112">
        <f t="shared" ref="F52:H52" si="54">F36+F46+F51</f>
        <v>3936.2560000000003</v>
      </c>
      <c r="G52" s="112">
        <f t="shared" si="54"/>
        <v>310.02</v>
      </c>
      <c r="H52" s="112">
        <f t="shared" si="54"/>
        <v>9840.64</v>
      </c>
      <c r="I52" s="112">
        <f>I36+I46+I51</f>
        <v>394.74</v>
      </c>
      <c r="J52" s="113">
        <f>J36+J46+J51</f>
        <v>12452.48</v>
      </c>
      <c r="K52" s="108"/>
      <c r="L52" s="109" t="s">
        <v>78</v>
      </c>
      <c r="M52" s="110"/>
      <c r="N52" s="111"/>
      <c r="O52" s="112">
        <f>O36+O46+O51</f>
        <v>135.26160000000002</v>
      </c>
      <c r="P52" s="112">
        <f t="shared" ref="P52:R52" si="55">P36+P46+P51</f>
        <v>9065.5879999999997</v>
      </c>
      <c r="Q52" s="112">
        <f t="shared" si="55"/>
        <v>338.154</v>
      </c>
      <c r="R52" s="112">
        <f t="shared" si="55"/>
        <v>22663.97</v>
      </c>
      <c r="S52" s="112">
        <f>S36+S46+S51</f>
        <v>437.73</v>
      </c>
      <c r="T52" s="113">
        <f>T36+T46+T51</f>
        <v>26556.94</v>
      </c>
    </row>
    <row r="53" spans="1:20" s="74" customFormat="1" ht="15" customHeight="1" thickBot="1" x14ac:dyDescent="0.3">
      <c r="A53" s="103"/>
      <c r="B53" s="114" t="s">
        <v>79</v>
      </c>
      <c r="C53" s="115"/>
      <c r="D53" s="116">
        <v>1</v>
      </c>
      <c r="E53" s="117"/>
      <c r="F53" s="117"/>
      <c r="G53" s="117"/>
      <c r="H53" s="117"/>
      <c r="I53" s="117">
        <f>I52</f>
        <v>394.74</v>
      </c>
      <c r="J53" s="118"/>
      <c r="K53" s="103"/>
      <c r="L53" s="114" t="s">
        <v>79</v>
      </c>
      <c r="M53" s="115"/>
      <c r="N53" s="116"/>
      <c r="O53" s="117"/>
      <c r="P53" s="117"/>
      <c r="Q53" s="117"/>
      <c r="R53" s="117"/>
      <c r="S53" s="117"/>
      <c r="T53" s="118"/>
    </row>
    <row r="54" spans="1:20" s="124" customFormat="1" ht="15.75" x14ac:dyDescent="0.25">
      <c r="A54" s="119"/>
      <c r="B54" s="120"/>
      <c r="C54" s="121"/>
      <c r="D54" s="122"/>
      <c r="E54" s="123"/>
      <c r="F54" s="123"/>
      <c r="G54" s="123"/>
      <c r="H54" s="123"/>
      <c r="I54" s="123"/>
      <c r="J54" s="123"/>
      <c r="K54" s="119"/>
      <c r="L54" s="120"/>
      <c r="M54" s="121"/>
      <c r="N54" s="122"/>
      <c r="O54" s="123"/>
      <c r="P54" s="123"/>
      <c r="Q54" s="123"/>
      <c r="R54" s="123"/>
      <c r="S54" s="123"/>
      <c r="T54" s="123"/>
    </row>
    <row r="55" spans="1:20" s="74" customFormat="1" x14ac:dyDescent="0.25">
      <c r="A55" s="125"/>
      <c r="B55" s="126" t="s">
        <v>80</v>
      </c>
      <c r="C55" s="127"/>
      <c r="D55" s="127"/>
      <c r="E55" s="128"/>
      <c r="F55" s="129"/>
      <c r="G55" s="129"/>
      <c r="H55" s="129"/>
      <c r="I55" s="129"/>
      <c r="J55" s="129"/>
      <c r="K55" s="125"/>
      <c r="L55" s="126" t="s">
        <v>80</v>
      </c>
      <c r="M55" s="127"/>
      <c r="N55" s="127"/>
      <c r="O55" s="128"/>
      <c r="P55" s="129"/>
      <c r="Q55" s="129"/>
      <c r="R55" s="129"/>
      <c r="S55" s="129"/>
      <c r="T55" s="129"/>
    </row>
    <row r="56" spans="1:20" s="74" customFormat="1" x14ac:dyDescent="0.25">
      <c r="A56" s="125"/>
      <c r="B56" s="126"/>
      <c r="C56" s="130"/>
      <c r="D56" s="130"/>
      <c r="E56" s="128"/>
      <c r="F56" s="129"/>
      <c r="G56" s="129"/>
      <c r="H56" s="129"/>
      <c r="I56" s="129"/>
      <c r="J56" s="129"/>
      <c r="K56" s="125"/>
      <c r="L56" s="126"/>
      <c r="M56" s="130"/>
      <c r="N56" s="130"/>
      <c r="O56" s="128"/>
      <c r="P56" s="129"/>
      <c r="Q56" s="129"/>
      <c r="R56" s="129"/>
      <c r="S56" s="129"/>
      <c r="T56" s="129"/>
    </row>
    <row r="57" spans="1:20" s="74" customFormat="1" x14ac:dyDescent="0.25">
      <c r="B57" s="126" t="s">
        <v>81</v>
      </c>
      <c r="C57" s="127"/>
      <c r="D57" s="127"/>
      <c r="E57" s="128"/>
      <c r="L57" s="126" t="s">
        <v>81</v>
      </c>
      <c r="M57" s="127"/>
      <c r="N57" s="127"/>
      <c r="O57" s="128"/>
    </row>
    <row r="58" spans="1:20" s="74" customFormat="1" ht="28.5" x14ac:dyDescent="0.45">
      <c r="D58" s="131"/>
      <c r="G58" s="202"/>
      <c r="H58" s="202"/>
      <c r="I58" s="202"/>
      <c r="J58" s="202"/>
      <c r="N58" s="131"/>
      <c r="Q58" s="202"/>
      <c r="R58" s="202"/>
      <c r="S58" s="202"/>
      <c r="T58" s="202"/>
    </row>
    <row r="59" spans="1:20" ht="28.5" x14ac:dyDescent="0.45">
      <c r="G59" s="200"/>
      <c r="H59" s="200"/>
      <c r="I59" s="201"/>
      <c r="J59" s="201"/>
      <c r="Q59" s="200"/>
      <c r="R59" s="200"/>
      <c r="S59" s="201"/>
      <c r="T59" s="201"/>
    </row>
    <row r="60" spans="1:20" ht="28.5" x14ac:dyDescent="0.45">
      <c r="G60" s="200"/>
      <c r="H60" s="200"/>
      <c r="I60" s="201"/>
      <c r="J60" s="201"/>
      <c r="Q60" s="200"/>
      <c r="R60" s="200"/>
      <c r="S60" s="201"/>
      <c r="T60" s="201"/>
    </row>
  </sheetData>
  <mergeCells count="22">
    <mergeCell ref="B1:F1"/>
    <mergeCell ref="L1:P1"/>
    <mergeCell ref="A9:C9"/>
    <mergeCell ref="K9:M9"/>
    <mergeCell ref="I25:J25"/>
    <mergeCell ref="S25:T25"/>
    <mergeCell ref="G58:H58"/>
    <mergeCell ref="I58:J58"/>
    <mergeCell ref="A17:C17"/>
    <mergeCell ref="K17:M17"/>
    <mergeCell ref="A20:C20"/>
    <mergeCell ref="K20:M20"/>
    <mergeCell ref="Q60:R60"/>
    <mergeCell ref="S60:T60"/>
    <mergeCell ref="G60:H60"/>
    <mergeCell ref="I60:J60"/>
    <mergeCell ref="Q58:R58"/>
    <mergeCell ref="S58:T58"/>
    <mergeCell ref="G59:H59"/>
    <mergeCell ref="I59:J59"/>
    <mergeCell ref="Q59:R59"/>
    <mergeCell ref="S59:T59"/>
  </mergeCells>
  <pageMargins left="0.7" right="0.7" top="0.75" bottom="0.75" header="0.3" footer="0.3"/>
  <pageSetup paperSize="9" scale="92" orientation="landscape" r:id="rId1"/>
  <colBreaks count="1" manualBreakCount="1">
    <brk id="10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28"/>
  <sheetViews>
    <sheetView view="pageBreakPreview" zoomScale="60" zoomScaleNormal="60" workbookViewId="0">
      <selection activeCell="E7" sqref="E7"/>
    </sheetView>
  </sheetViews>
  <sheetFormatPr defaultRowHeight="15" x14ac:dyDescent="0.25"/>
  <cols>
    <col min="1" max="1" width="11.5703125" customWidth="1"/>
    <col min="2" max="2" width="12" customWidth="1"/>
    <col min="3" max="3" width="6.5703125" customWidth="1"/>
    <col min="4" max="4" width="40.5703125" customWidth="1"/>
    <col min="5" max="5" width="9.140625" customWidth="1"/>
    <col min="6" max="6" width="10.140625" customWidth="1"/>
    <col min="7" max="7" width="12.28515625" customWidth="1"/>
    <col min="8" max="8" width="10.85546875" customWidth="1"/>
    <col min="9" max="9" width="9.7109375" customWidth="1"/>
    <col min="10" max="10" width="14.7109375" customWidth="1"/>
    <col min="11" max="11" width="11.5703125" customWidth="1"/>
    <col min="12" max="12" width="12" customWidth="1"/>
    <col min="13" max="13" width="6.5703125" customWidth="1"/>
    <col min="14" max="14" width="36.7109375" customWidth="1"/>
    <col min="16" max="16" width="9.42578125" bestFit="1" customWidth="1"/>
    <col min="17" max="17" width="12.28515625" customWidth="1"/>
    <col min="18" max="18" width="10.42578125" customWidth="1"/>
    <col min="19" max="19" width="9.7109375" customWidth="1"/>
    <col min="20" max="20" width="15.7109375" customWidth="1"/>
  </cols>
  <sheetData>
    <row r="1" spans="1:20" s="1" customFormat="1" ht="21.95" customHeight="1" x14ac:dyDescent="0.3">
      <c r="A1" s="1" t="s">
        <v>0</v>
      </c>
      <c r="B1" s="210" t="s">
        <v>5</v>
      </c>
      <c r="C1" s="211"/>
      <c r="D1" s="211"/>
      <c r="E1" s="211"/>
      <c r="F1" s="212"/>
      <c r="G1" s="1" t="s">
        <v>1</v>
      </c>
      <c r="H1" s="2" t="s">
        <v>2</v>
      </c>
      <c r="I1" s="1" t="s">
        <v>3</v>
      </c>
      <c r="J1" s="3">
        <v>44442</v>
      </c>
      <c r="K1" s="1" t="s">
        <v>0</v>
      </c>
      <c r="L1" s="210" t="s">
        <v>5</v>
      </c>
      <c r="M1" s="211"/>
      <c r="N1" s="211"/>
      <c r="O1" s="211"/>
      <c r="P1" s="212"/>
      <c r="Q1" s="1" t="s">
        <v>1</v>
      </c>
      <c r="R1" s="2" t="s">
        <v>4</v>
      </c>
      <c r="S1" s="1" t="s">
        <v>3</v>
      </c>
      <c r="T1" s="3">
        <f>J1</f>
        <v>44442</v>
      </c>
    </row>
    <row r="2" spans="1:20" s="1" customFormat="1" ht="21.95" customHeight="1" thickBot="1" x14ac:dyDescent="0.35"/>
    <row r="3" spans="1:20" s="7" customFormat="1" ht="21.95" customHeight="1" thickBot="1" x14ac:dyDescent="0.3">
      <c r="A3" s="132" t="s">
        <v>6</v>
      </c>
      <c r="B3" s="133" t="s">
        <v>7</v>
      </c>
      <c r="C3" s="133" t="s">
        <v>8</v>
      </c>
      <c r="D3" s="133" t="s">
        <v>9</v>
      </c>
      <c r="E3" s="133" t="s">
        <v>10</v>
      </c>
      <c r="F3" s="133" t="s">
        <v>11</v>
      </c>
      <c r="G3" s="133" t="s">
        <v>12</v>
      </c>
      <c r="H3" s="133" t="s">
        <v>13</v>
      </c>
      <c r="I3" s="133" t="s">
        <v>14</v>
      </c>
      <c r="J3" s="134" t="s">
        <v>15</v>
      </c>
      <c r="K3" s="132" t="s">
        <v>6</v>
      </c>
      <c r="L3" s="133" t="s">
        <v>7</v>
      </c>
      <c r="M3" s="133" t="s">
        <v>8</v>
      </c>
      <c r="N3" s="133" t="s">
        <v>9</v>
      </c>
      <c r="O3" s="133" t="s">
        <v>10</v>
      </c>
      <c r="P3" s="133" t="s">
        <v>11</v>
      </c>
      <c r="Q3" s="133" t="s">
        <v>12</v>
      </c>
      <c r="R3" s="133" t="s">
        <v>13</v>
      </c>
      <c r="S3" s="133" t="s">
        <v>14</v>
      </c>
      <c r="T3" s="134" t="s">
        <v>15</v>
      </c>
    </row>
    <row r="4" spans="1:20" s="7" customFormat="1" ht="25.5" customHeight="1" x14ac:dyDescent="0.25">
      <c r="A4" s="135" t="s">
        <v>16</v>
      </c>
      <c r="B4" s="136" t="s">
        <v>17</v>
      </c>
      <c r="C4" s="137">
        <v>30</v>
      </c>
      <c r="D4" s="12" t="s">
        <v>83</v>
      </c>
      <c r="E4" s="13" t="s">
        <v>19</v>
      </c>
      <c r="F4" s="14">
        <f>72-14-7.93</f>
        <v>50.07</v>
      </c>
      <c r="G4" s="15">
        <v>8.14</v>
      </c>
      <c r="H4" s="15">
        <v>9.68</v>
      </c>
      <c r="I4" s="15">
        <v>38.39</v>
      </c>
      <c r="J4" s="16">
        <v>273</v>
      </c>
      <c r="K4" s="135" t="s">
        <v>16</v>
      </c>
      <c r="L4" s="136" t="s">
        <v>17</v>
      </c>
      <c r="M4" s="137">
        <v>71</v>
      </c>
      <c r="N4" s="12" t="s">
        <v>84</v>
      </c>
      <c r="O4" s="13" t="s">
        <v>21</v>
      </c>
      <c r="P4" s="14">
        <f>72/20*22+10-14+6.2-9.2</f>
        <v>72.2</v>
      </c>
      <c r="Q4" s="15">
        <f>8.14/20*22</f>
        <v>8.9540000000000006</v>
      </c>
      <c r="R4" s="15">
        <f>9.68/20*22</f>
        <v>10.648</v>
      </c>
      <c r="S4" s="15">
        <f>38.39/20*22</f>
        <v>42.228999999999999</v>
      </c>
      <c r="T4" s="16">
        <f>273/20*22</f>
        <v>300.3</v>
      </c>
    </row>
    <row r="5" spans="1:20" s="1" customFormat="1" ht="21.95" customHeight="1" x14ac:dyDescent="0.3">
      <c r="A5" s="8"/>
      <c r="B5" s="2" t="s">
        <v>22</v>
      </c>
      <c r="C5" s="17">
        <f>C4</f>
        <v>30</v>
      </c>
      <c r="D5" s="18" t="s">
        <v>85</v>
      </c>
      <c r="E5" s="19" t="s">
        <v>19</v>
      </c>
      <c r="F5" s="138">
        <v>35</v>
      </c>
      <c r="G5" s="23">
        <v>2.8</v>
      </c>
      <c r="H5" s="23">
        <v>3.2</v>
      </c>
      <c r="I5" s="23">
        <v>14.8</v>
      </c>
      <c r="J5" s="24">
        <v>100</v>
      </c>
      <c r="K5" s="8"/>
      <c r="L5" s="2" t="s">
        <v>22</v>
      </c>
      <c r="M5" s="17">
        <f>M4</f>
        <v>71</v>
      </c>
      <c r="N5" s="18" t="s">
        <v>85</v>
      </c>
      <c r="O5" s="19" t="s">
        <v>19</v>
      </c>
      <c r="P5" s="138">
        <v>35</v>
      </c>
      <c r="Q5" s="23">
        <v>2.8</v>
      </c>
      <c r="R5" s="23">
        <v>3.2</v>
      </c>
      <c r="S5" s="23">
        <v>14.8</v>
      </c>
      <c r="T5" s="24">
        <v>100</v>
      </c>
    </row>
    <row r="6" spans="1:20" s="1" customFormat="1" ht="21.95" customHeight="1" x14ac:dyDescent="0.3">
      <c r="A6" s="8"/>
      <c r="B6" s="2" t="s">
        <v>24</v>
      </c>
      <c r="C6" s="17">
        <f>C5</f>
        <v>30</v>
      </c>
      <c r="D6" s="18" t="s">
        <v>25</v>
      </c>
      <c r="E6" s="19" t="s">
        <v>26</v>
      </c>
      <c r="F6" s="20">
        <v>9.1999999999999993</v>
      </c>
      <c r="G6" s="23">
        <v>2.29</v>
      </c>
      <c r="H6" s="23">
        <v>0.9</v>
      </c>
      <c r="I6" s="23">
        <v>15</v>
      </c>
      <c r="J6" s="24">
        <v>77.7</v>
      </c>
      <c r="K6" s="8"/>
      <c r="L6" s="2" t="s">
        <v>24</v>
      </c>
      <c r="M6" s="17">
        <f>M5</f>
        <v>71</v>
      </c>
      <c r="N6" s="18" t="s">
        <v>25</v>
      </c>
      <c r="O6" s="19" t="s">
        <v>26</v>
      </c>
      <c r="P6" s="20">
        <v>9.1999999999999993</v>
      </c>
      <c r="Q6" s="23">
        <v>2.29</v>
      </c>
      <c r="R6" s="23">
        <v>0.9</v>
      </c>
      <c r="S6" s="23">
        <v>15</v>
      </c>
      <c r="T6" s="24">
        <v>77.7</v>
      </c>
    </row>
    <row r="7" spans="1:20" s="1" customFormat="1" ht="21.95" customHeight="1" x14ac:dyDescent="0.3">
      <c r="A7" s="8"/>
      <c r="B7" s="25" t="s">
        <v>30</v>
      </c>
      <c r="C7" s="17">
        <f>C6</f>
        <v>30</v>
      </c>
      <c r="D7" s="18" t="s">
        <v>31</v>
      </c>
      <c r="E7" s="19" t="s">
        <v>29</v>
      </c>
      <c r="F7" s="138">
        <v>13</v>
      </c>
      <c r="G7" s="23">
        <v>2.63</v>
      </c>
      <c r="H7" s="23">
        <v>2.66</v>
      </c>
      <c r="I7" s="23">
        <v>0</v>
      </c>
      <c r="J7" s="24">
        <v>3.5</v>
      </c>
      <c r="K7" s="8"/>
      <c r="L7" s="25" t="s">
        <v>30</v>
      </c>
      <c r="M7" s="17">
        <f>M6</f>
        <v>71</v>
      </c>
      <c r="N7" s="18" t="s">
        <v>31</v>
      </c>
      <c r="O7" s="19" t="s">
        <v>29</v>
      </c>
      <c r="P7" s="138">
        <v>13</v>
      </c>
      <c r="Q7" s="23">
        <v>2.63</v>
      </c>
      <c r="R7" s="23">
        <v>2.66</v>
      </c>
      <c r="S7" s="23">
        <v>0</v>
      </c>
      <c r="T7" s="24">
        <v>3.5</v>
      </c>
    </row>
    <row r="8" spans="1:20" s="1" customFormat="1" ht="21.95" customHeight="1" thickBot="1" x14ac:dyDescent="0.35">
      <c r="A8" s="26"/>
      <c r="B8" s="27"/>
      <c r="C8" s="28"/>
      <c r="D8" s="29"/>
      <c r="E8" s="30"/>
      <c r="F8" s="31"/>
      <c r="G8" s="32"/>
      <c r="H8" s="32"/>
      <c r="I8" s="32"/>
      <c r="J8" s="33"/>
      <c r="K8" s="26"/>
      <c r="L8" s="27"/>
      <c r="M8" s="28"/>
      <c r="N8" s="29"/>
      <c r="O8" s="30"/>
      <c r="P8" s="31"/>
      <c r="Q8" s="32"/>
      <c r="R8" s="32"/>
      <c r="S8" s="32"/>
      <c r="T8" s="33"/>
    </row>
    <row r="9" spans="1:20" s="38" customFormat="1" ht="21.95" customHeight="1" thickBot="1" x14ac:dyDescent="0.3">
      <c r="A9" s="216" t="s">
        <v>32</v>
      </c>
      <c r="B9" s="217"/>
      <c r="C9" s="218"/>
      <c r="D9" s="139"/>
      <c r="E9" s="140"/>
      <c r="F9" s="141">
        <f>SUM(F4:F8)</f>
        <v>107.27</v>
      </c>
      <c r="G9" s="142">
        <f>SUM(G4:G8)</f>
        <v>15.86</v>
      </c>
      <c r="H9" s="142">
        <f>SUM(H4:H8)</f>
        <v>16.439999999999998</v>
      </c>
      <c r="I9" s="142">
        <f>SUM(I4:I8)</f>
        <v>68.19</v>
      </c>
      <c r="J9" s="143">
        <f>SUM(J4:J8)</f>
        <v>454.2</v>
      </c>
      <c r="K9" s="216" t="s">
        <v>32</v>
      </c>
      <c r="L9" s="217"/>
      <c r="M9" s="218"/>
      <c r="N9" s="139"/>
      <c r="O9" s="140"/>
      <c r="P9" s="141">
        <f>SUM(P4:P8)</f>
        <v>129.4</v>
      </c>
      <c r="Q9" s="142">
        <f>SUM(Q4:Q8)</f>
        <v>16.673999999999999</v>
      </c>
      <c r="R9" s="142">
        <f>SUM(R4:R8)</f>
        <v>17.408000000000001</v>
      </c>
      <c r="S9" s="142">
        <f>SUM(S4:S8)</f>
        <v>72.028999999999996</v>
      </c>
      <c r="T9" s="143">
        <f>SUM(T4:T8)</f>
        <v>481.5</v>
      </c>
    </row>
    <row r="10" spans="1:20" s="1" customFormat="1" ht="21.95" customHeight="1" x14ac:dyDescent="0.3">
      <c r="A10" s="9" t="s">
        <v>33</v>
      </c>
      <c r="B10" s="10" t="s">
        <v>34</v>
      </c>
      <c r="C10" s="11">
        <v>30</v>
      </c>
      <c r="D10" s="12" t="s">
        <v>86</v>
      </c>
      <c r="E10" s="13" t="s">
        <v>60</v>
      </c>
      <c r="F10" s="14">
        <v>20</v>
      </c>
      <c r="G10" s="15">
        <v>5.45</v>
      </c>
      <c r="H10" s="15">
        <v>3.3</v>
      </c>
      <c r="I10" s="15">
        <v>1.4</v>
      </c>
      <c r="J10" s="16">
        <v>58.49</v>
      </c>
      <c r="K10" s="9" t="s">
        <v>33</v>
      </c>
      <c r="L10" s="10" t="s">
        <v>34</v>
      </c>
      <c r="M10" s="11">
        <v>71</v>
      </c>
      <c r="N10" s="12" t="s">
        <v>86</v>
      </c>
      <c r="O10" s="13" t="s">
        <v>60</v>
      </c>
      <c r="P10" s="14">
        <v>20</v>
      </c>
      <c r="Q10" s="15">
        <v>5.45</v>
      </c>
      <c r="R10" s="15">
        <v>3.3</v>
      </c>
      <c r="S10" s="15">
        <v>1.4</v>
      </c>
      <c r="T10" s="16">
        <v>58.49</v>
      </c>
    </row>
    <row r="11" spans="1:20" s="7" customFormat="1" ht="27" customHeight="1" x14ac:dyDescent="0.25">
      <c r="A11" s="39"/>
      <c r="B11" s="41" t="s">
        <v>37</v>
      </c>
      <c r="C11" s="40">
        <f t="shared" ref="C11:C16" si="0">C10</f>
        <v>30</v>
      </c>
      <c r="D11" s="18" t="s">
        <v>87</v>
      </c>
      <c r="E11" s="19" t="s">
        <v>88</v>
      </c>
      <c r="F11" s="20">
        <f>80-15</f>
        <v>65</v>
      </c>
      <c r="G11" s="23">
        <v>5.75</v>
      </c>
      <c r="H11" s="23">
        <v>4.25</v>
      </c>
      <c r="I11" s="23">
        <v>19.5</v>
      </c>
      <c r="J11" s="24">
        <v>145</v>
      </c>
      <c r="K11" s="39"/>
      <c r="L11" s="41" t="s">
        <v>37</v>
      </c>
      <c r="M11" s="40">
        <f t="shared" ref="M11:M16" si="1">M10</f>
        <v>71</v>
      </c>
      <c r="N11" s="18" t="s">
        <v>87</v>
      </c>
      <c r="O11" s="19" t="s">
        <v>89</v>
      </c>
      <c r="P11" s="20">
        <f>80+3.6-10-0.74</f>
        <v>72.86</v>
      </c>
      <c r="Q11" s="23">
        <v>5.75</v>
      </c>
      <c r="R11" s="23">
        <v>4.25</v>
      </c>
      <c r="S11" s="23">
        <v>19.5</v>
      </c>
      <c r="T11" s="24">
        <v>145</v>
      </c>
    </row>
    <row r="12" spans="1:20" s="1" customFormat="1" ht="21.95" customHeight="1" x14ac:dyDescent="0.3">
      <c r="A12" s="8"/>
      <c r="B12" s="2" t="s">
        <v>41</v>
      </c>
      <c r="C12" s="17">
        <f t="shared" si="0"/>
        <v>30</v>
      </c>
      <c r="D12" s="18" t="s">
        <v>90</v>
      </c>
      <c r="E12" s="19" t="s">
        <v>91</v>
      </c>
      <c r="F12" s="20">
        <f>70-10.4-2.73</f>
        <v>56.870000000000005</v>
      </c>
      <c r="G12" s="23">
        <v>7.57</v>
      </c>
      <c r="H12" s="23">
        <v>9.15</v>
      </c>
      <c r="I12" s="23">
        <v>1.1200000000000001</v>
      </c>
      <c r="J12" s="24">
        <v>116.55</v>
      </c>
      <c r="K12" s="8"/>
      <c r="L12" s="2" t="s">
        <v>41</v>
      </c>
      <c r="M12" s="17">
        <f t="shared" si="1"/>
        <v>71</v>
      </c>
      <c r="N12" s="18" t="s">
        <v>90</v>
      </c>
      <c r="O12" s="19" t="s">
        <v>91</v>
      </c>
      <c r="P12" s="20">
        <f>70-10.4-2.73</f>
        <v>56.870000000000005</v>
      </c>
      <c r="Q12" s="23">
        <v>7.57</v>
      </c>
      <c r="R12" s="23">
        <v>9.15</v>
      </c>
      <c r="S12" s="23">
        <v>1.1200000000000001</v>
      </c>
      <c r="T12" s="24">
        <v>116.55</v>
      </c>
    </row>
    <row r="13" spans="1:20" s="1" customFormat="1" ht="21.95" customHeight="1" x14ac:dyDescent="0.3">
      <c r="A13" s="8"/>
      <c r="B13" s="2" t="s">
        <v>44</v>
      </c>
      <c r="C13" s="17">
        <f t="shared" si="0"/>
        <v>30</v>
      </c>
      <c r="D13" s="42" t="s">
        <v>92</v>
      </c>
      <c r="E13" s="19" t="s">
        <v>46</v>
      </c>
      <c r="F13" s="20">
        <v>20</v>
      </c>
      <c r="G13" s="23">
        <v>5.4</v>
      </c>
      <c r="H13" s="23">
        <v>6.54</v>
      </c>
      <c r="I13" s="23">
        <v>64.3</v>
      </c>
      <c r="J13" s="24">
        <v>216.27</v>
      </c>
      <c r="K13" s="8"/>
      <c r="L13" s="2" t="s">
        <v>44</v>
      </c>
      <c r="M13" s="17">
        <f t="shared" si="1"/>
        <v>71</v>
      </c>
      <c r="N13" s="42" t="s">
        <v>92</v>
      </c>
      <c r="O13" s="19" t="s">
        <v>47</v>
      </c>
      <c r="P13" s="20">
        <f>20/15*18</f>
        <v>24</v>
      </c>
      <c r="Q13" s="23">
        <f>5.4/15*18</f>
        <v>6.48</v>
      </c>
      <c r="R13" s="23">
        <f>6.54/15*18</f>
        <v>7.8479999999999999</v>
      </c>
      <c r="S13" s="23">
        <f>64.3/15*18</f>
        <v>77.16</v>
      </c>
      <c r="T13" s="24">
        <f>216.27/15*18</f>
        <v>259.524</v>
      </c>
    </row>
    <row r="14" spans="1:20" s="1" customFormat="1" ht="21.95" customHeight="1" x14ac:dyDescent="0.3">
      <c r="A14" s="8"/>
      <c r="B14" s="2" t="s">
        <v>22</v>
      </c>
      <c r="C14" s="17">
        <f t="shared" si="0"/>
        <v>30</v>
      </c>
      <c r="D14" s="42" t="s">
        <v>48</v>
      </c>
      <c r="E14" s="19" t="s">
        <v>19</v>
      </c>
      <c r="F14" s="20">
        <v>24</v>
      </c>
      <c r="G14" s="23">
        <v>0.55000000000000004</v>
      </c>
      <c r="H14" s="23">
        <v>0.08</v>
      </c>
      <c r="I14" s="23">
        <v>20.3</v>
      </c>
      <c r="J14" s="24">
        <v>85.23</v>
      </c>
      <c r="K14" s="8"/>
      <c r="L14" s="2" t="s">
        <v>22</v>
      </c>
      <c r="M14" s="17">
        <f t="shared" si="1"/>
        <v>71</v>
      </c>
      <c r="N14" s="42" t="s">
        <v>48</v>
      </c>
      <c r="O14" s="19" t="s">
        <v>19</v>
      </c>
      <c r="P14" s="20">
        <v>24</v>
      </c>
      <c r="Q14" s="23">
        <v>0.55000000000000004</v>
      </c>
      <c r="R14" s="23">
        <v>0.08</v>
      </c>
      <c r="S14" s="23">
        <v>20.3</v>
      </c>
      <c r="T14" s="24">
        <v>85.23</v>
      </c>
    </row>
    <row r="15" spans="1:20" s="1" customFormat="1" ht="21.95" customHeight="1" x14ac:dyDescent="0.3">
      <c r="A15" s="8"/>
      <c r="B15" s="2" t="s">
        <v>49</v>
      </c>
      <c r="C15" s="17">
        <f t="shared" si="0"/>
        <v>30</v>
      </c>
      <c r="D15" s="18" t="s">
        <v>50</v>
      </c>
      <c r="E15" s="19" t="s">
        <v>51</v>
      </c>
      <c r="F15" s="20">
        <v>6</v>
      </c>
      <c r="G15" s="21">
        <f>4/2</f>
        <v>2</v>
      </c>
      <c r="H15" s="21">
        <f>0.75/2</f>
        <v>0.375</v>
      </c>
      <c r="I15" s="21">
        <f>20.05/2</f>
        <v>10.025</v>
      </c>
      <c r="J15" s="22">
        <f>104/2</f>
        <v>52</v>
      </c>
      <c r="K15" s="8"/>
      <c r="L15" s="2" t="s">
        <v>49</v>
      </c>
      <c r="M15" s="17">
        <f t="shared" si="1"/>
        <v>71</v>
      </c>
      <c r="N15" s="18" t="s">
        <v>50</v>
      </c>
      <c r="O15" s="19" t="s">
        <v>51</v>
      </c>
      <c r="P15" s="20">
        <v>6</v>
      </c>
      <c r="Q15" s="21">
        <f>4/2</f>
        <v>2</v>
      </c>
      <c r="R15" s="21">
        <f>0.75/2</f>
        <v>0.375</v>
      </c>
      <c r="S15" s="21">
        <f>20.05/2</f>
        <v>10.025</v>
      </c>
      <c r="T15" s="22">
        <f>104/2</f>
        <v>52</v>
      </c>
    </row>
    <row r="16" spans="1:20" s="1" customFormat="1" ht="21.95" customHeight="1" thickBot="1" x14ac:dyDescent="0.35">
      <c r="A16" s="26"/>
      <c r="B16" s="43" t="s">
        <v>52</v>
      </c>
      <c r="C16" s="28">
        <f t="shared" si="0"/>
        <v>30</v>
      </c>
      <c r="D16" s="29" t="s">
        <v>53</v>
      </c>
      <c r="E16" s="30" t="s">
        <v>51</v>
      </c>
      <c r="F16" s="44">
        <v>6</v>
      </c>
      <c r="G16" s="32">
        <f>2.72/2</f>
        <v>1.36</v>
      </c>
      <c r="H16" s="32">
        <f>0.52/2</f>
        <v>0.26</v>
      </c>
      <c r="I16" s="32">
        <f>15.92/2</f>
        <v>7.96</v>
      </c>
      <c r="J16" s="33">
        <f>80.4/2</f>
        <v>40.200000000000003</v>
      </c>
      <c r="K16" s="26"/>
      <c r="L16" s="43" t="s">
        <v>52</v>
      </c>
      <c r="M16" s="28">
        <f t="shared" si="1"/>
        <v>71</v>
      </c>
      <c r="N16" s="29" t="s">
        <v>53</v>
      </c>
      <c r="O16" s="30" t="s">
        <v>51</v>
      </c>
      <c r="P16" s="44">
        <v>6</v>
      </c>
      <c r="Q16" s="32">
        <f>2.72/2</f>
        <v>1.36</v>
      </c>
      <c r="R16" s="32">
        <f>0.52/2</f>
        <v>0.26</v>
      </c>
      <c r="S16" s="32">
        <f>15.92/2</f>
        <v>7.96</v>
      </c>
      <c r="T16" s="33">
        <f>80.4/2</f>
        <v>40.200000000000003</v>
      </c>
    </row>
    <row r="17" spans="1:20" s="38" customFormat="1" ht="21.95" customHeight="1" thickBot="1" x14ac:dyDescent="0.3">
      <c r="A17" s="213" t="s">
        <v>32</v>
      </c>
      <c r="B17" s="214"/>
      <c r="C17" s="215"/>
      <c r="D17" s="144"/>
      <c r="E17" s="145"/>
      <c r="F17" s="146">
        <f>SUM(F10:F16)</f>
        <v>197.87</v>
      </c>
      <c r="G17" s="147">
        <f>SUM(G10:G16)</f>
        <v>28.080000000000002</v>
      </c>
      <c r="H17" s="147">
        <f>SUM(H10:H16)</f>
        <v>23.954999999999998</v>
      </c>
      <c r="I17" s="147">
        <f>SUM(I10:I16)</f>
        <v>124.60499999999999</v>
      </c>
      <c r="J17" s="148">
        <f>SUM(J10:J16)</f>
        <v>713.74000000000012</v>
      </c>
      <c r="K17" s="213" t="s">
        <v>32</v>
      </c>
      <c r="L17" s="214"/>
      <c r="M17" s="215"/>
      <c r="N17" s="144"/>
      <c r="O17" s="145"/>
      <c r="P17" s="146">
        <f>SUM(P10:P16)</f>
        <v>209.73000000000002</v>
      </c>
      <c r="Q17" s="147">
        <f>SUM(Q10:Q16)</f>
        <v>29.16</v>
      </c>
      <c r="R17" s="147">
        <f>SUM(R10:R16)</f>
        <v>25.262999999999998</v>
      </c>
      <c r="S17" s="147">
        <f>SUM(S10:S16)</f>
        <v>137.465</v>
      </c>
      <c r="T17" s="148">
        <f>SUM(T10:T16)</f>
        <v>756.99400000000014</v>
      </c>
    </row>
    <row r="18" spans="1:20" s="1" customFormat="1" ht="21.95" customHeight="1" x14ac:dyDescent="0.3">
      <c r="A18" s="9" t="s">
        <v>54</v>
      </c>
      <c r="B18" s="10" t="s">
        <v>58</v>
      </c>
      <c r="C18" s="11">
        <v>28</v>
      </c>
      <c r="D18" s="45" t="s">
        <v>55</v>
      </c>
      <c r="E18" s="46" t="s">
        <v>19</v>
      </c>
      <c r="F18" s="14">
        <v>53</v>
      </c>
      <c r="G18" s="15">
        <v>0.6</v>
      </c>
      <c r="H18" s="15"/>
      <c r="I18" s="15">
        <v>33</v>
      </c>
      <c r="J18" s="16">
        <v>136</v>
      </c>
      <c r="K18" s="9" t="s">
        <v>54</v>
      </c>
      <c r="L18" s="10" t="s">
        <v>58</v>
      </c>
      <c r="M18" s="11">
        <v>4</v>
      </c>
      <c r="N18" s="45" t="s">
        <v>56</v>
      </c>
      <c r="O18" s="46" t="s">
        <v>57</v>
      </c>
      <c r="P18" s="14">
        <v>62</v>
      </c>
      <c r="Q18" s="15">
        <v>0.6</v>
      </c>
      <c r="R18" s="15"/>
      <c r="S18" s="15">
        <v>33</v>
      </c>
      <c r="T18" s="16">
        <v>136</v>
      </c>
    </row>
    <row r="19" spans="1:20" s="1" customFormat="1" ht="21.95" customHeight="1" thickBot="1" x14ac:dyDescent="0.35">
      <c r="A19" s="26"/>
      <c r="B19" s="27" t="s">
        <v>22</v>
      </c>
      <c r="C19" s="28">
        <f>C18</f>
        <v>28</v>
      </c>
      <c r="D19" s="47" t="s">
        <v>93</v>
      </c>
      <c r="E19" s="48" t="s">
        <v>57</v>
      </c>
      <c r="F19" s="44">
        <v>36.6</v>
      </c>
      <c r="G19" s="49">
        <v>3.15</v>
      </c>
      <c r="H19" s="49">
        <v>13.5</v>
      </c>
      <c r="I19" s="49">
        <v>27.8</v>
      </c>
      <c r="J19" s="50">
        <v>232.1</v>
      </c>
      <c r="K19" s="26"/>
      <c r="L19" s="27" t="s">
        <v>22</v>
      </c>
      <c r="M19" s="28">
        <f>M18</f>
        <v>4</v>
      </c>
      <c r="N19" s="47" t="s">
        <v>93</v>
      </c>
      <c r="O19" s="48" t="s">
        <v>57</v>
      </c>
      <c r="P19" s="44">
        <v>36.6</v>
      </c>
      <c r="Q19" s="49">
        <v>3.15</v>
      </c>
      <c r="R19" s="49">
        <v>13.5</v>
      </c>
      <c r="S19" s="49">
        <v>27.8</v>
      </c>
      <c r="T19" s="50">
        <v>232.1</v>
      </c>
    </row>
    <row r="20" spans="1:20" s="38" customFormat="1" ht="21.95" customHeight="1" thickBot="1" x14ac:dyDescent="0.3">
      <c r="A20" s="207" t="s">
        <v>32</v>
      </c>
      <c r="B20" s="208"/>
      <c r="C20" s="209"/>
      <c r="D20" s="51"/>
      <c r="E20" s="52"/>
      <c r="F20" s="149">
        <f>SUM(F18:F19)</f>
        <v>89.6</v>
      </c>
      <c r="G20" s="53">
        <f>SUM(G18:G19)</f>
        <v>3.75</v>
      </c>
      <c r="H20" s="53">
        <f>SUM(H18:H19)</f>
        <v>13.5</v>
      </c>
      <c r="I20" s="53">
        <f>SUM(I18:I19)</f>
        <v>60.8</v>
      </c>
      <c r="J20" s="54">
        <f>SUM(J18:J19)</f>
        <v>368.1</v>
      </c>
      <c r="K20" s="207" t="s">
        <v>32</v>
      </c>
      <c r="L20" s="208"/>
      <c r="M20" s="209"/>
      <c r="N20" s="51"/>
      <c r="O20" s="52"/>
      <c r="P20" s="149">
        <f>SUM(P18:P19)</f>
        <v>98.6</v>
      </c>
      <c r="Q20" s="53">
        <f>SUM(Q18:Q19)</f>
        <v>3.75</v>
      </c>
      <c r="R20" s="53">
        <f>SUM(R18:R19)</f>
        <v>13.5</v>
      </c>
      <c r="S20" s="53">
        <f>SUM(S18:S19)</f>
        <v>60.8</v>
      </c>
      <c r="T20" s="54">
        <f>SUM(T18:T19)</f>
        <v>368.1</v>
      </c>
    </row>
    <row r="21" spans="1:20" s="55" customFormat="1" x14ac:dyDescent="0.25"/>
    <row r="22" spans="1:20" s="55" customFormat="1" ht="18.75" customHeight="1" x14ac:dyDescent="0.25">
      <c r="D22" s="56" t="s">
        <v>61</v>
      </c>
      <c r="E22" s="57"/>
      <c r="F22" s="58" t="s">
        <v>62</v>
      </c>
      <c r="G22" s="59"/>
      <c r="N22" s="56" t="s">
        <v>61</v>
      </c>
      <c r="O22" s="57"/>
      <c r="P22" s="58" t="s">
        <v>62</v>
      </c>
      <c r="Q22" s="59"/>
    </row>
    <row r="23" spans="1:20" s="55" customFormat="1" ht="18.75" customHeight="1" x14ac:dyDescent="0.25">
      <c r="D23" s="56"/>
      <c r="E23" s="57"/>
      <c r="F23" s="58"/>
      <c r="G23" s="59"/>
      <c r="N23" s="56"/>
      <c r="O23" s="57"/>
      <c r="P23" s="58"/>
      <c r="Q23" s="59"/>
    </row>
    <row r="24" spans="1:20" s="55" customFormat="1" ht="18.75" x14ac:dyDescent="0.25">
      <c r="D24" s="60" t="s">
        <v>63</v>
      </c>
      <c r="E24" s="61"/>
      <c r="F24" s="150" t="s">
        <v>64</v>
      </c>
      <c r="G24" s="59"/>
      <c r="N24" s="60" t="s">
        <v>63</v>
      </c>
      <c r="O24" s="61"/>
      <c r="P24" s="150" t="s">
        <v>64</v>
      </c>
      <c r="Q24" s="59"/>
    </row>
    <row r="25" spans="1:20" s="74" customFormat="1" x14ac:dyDescent="0.25">
      <c r="A25" s="151"/>
      <c r="B25" s="153"/>
      <c r="C25" s="154"/>
      <c r="D25" s="154"/>
      <c r="E25" s="155"/>
      <c r="F25" s="152"/>
      <c r="G25" s="152"/>
      <c r="H25" s="152"/>
      <c r="I25" s="152"/>
      <c r="J25" s="152"/>
      <c r="K25" s="151"/>
      <c r="L25" s="153"/>
      <c r="M25" s="154"/>
      <c r="N25" s="154"/>
      <c r="O25" s="155"/>
      <c r="P25" s="152"/>
      <c r="Q25" s="152"/>
      <c r="R25" s="152"/>
      <c r="S25" s="152"/>
      <c r="T25" s="152"/>
    </row>
    <row r="26" spans="1:20" s="74" customFormat="1" x14ac:dyDescent="0.25">
      <c r="A26" s="151"/>
      <c r="B26" s="153"/>
      <c r="C26" s="154"/>
      <c r="D26" s="154"/>
      <c r="E26" s="155"/>
      <c r="F26" s="152"/>
      <c r="G26" s="152"/>
      <c r="H26" s="152"/>
      <c r="I26" s="152"/>
      <c r="J26" s="152"/>
      <c r="K26" s="151"/>
      <c r="L26" s="153"/>
      <c r="M26" s="154"/>
      <c r="N26" s="154"/>
      <c r="O26" s="155"/>
      <c r="P26" s="152"/>
      <c r="Q26" s="152"/>
      <c r="R26" s="152"/>
      <c r="S26" s="152"/>
      <c r="T26" s="152"/>
    </row>
    <row r="27" spans="1:20" s="74" customFormat="1" x14ac:dyDescent="0.25">
      <c r="A27" s="156"/>
      <c r="B27" s="153"/>
      <c r="C27" s="154"/>
      <c r="D27" s="154"/>
      <c r="E27" s="155"/>
      <c r="F27" s="156"/>
      <c r="G27" s="156"/>
      <c r="H27" s="156"/>
      <c r="I27" s="156"/>
      <c r="J27" s="156"/>
      <c r="K27" s="156"/>
      <c r="L27" s="153"/>
      <c r="M27" s="154"/>
      <c r="N27" s="154"/>
      <c r="O27" s="155"/>
      <c r="P27" s="156"/>
      <c r="Q27" s="156"/>
      <c r="R27" s="156"/>
      <c r="S27" s="156"/>
      <c r="T27" s="156"/>
    </row>
    <row r="28" spans="1:20" x14ac:dyDescent="0.2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</row>
  </sheetData>
  <mergeCells count="8">
    <mergeCell ref="A17:C17"/>
    <mergeCell ref="K17:M17"/>
    <mergeCell ref="A20:C20"/>
    <mergeCell ref="K20:M20"/>
    <mergeCell ref="B1:F1"/>
    <mergeCell ref="L1:P1"/>
    <mergeCell ref="A9:C9"/>
    <mergeCell ref="K9:M9"/>
  </mergeCells>
  <pageMargins left="0.7" right="0.7" top="0.75" bottom="0.75" header="0.3" footer="0.3"/>
  <pageSetup paperSize="9" scale="89" orientation="landscape" r:id="rId1"/>
  <colBreaks count="1" manualBreakCount="1">
    <brk id="10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T26"/>
  <sheetViews>
    <sheetView view="pageBreakPreview" zoomScale="60" zoomScaleNormal="60" workbookViewId="0">
      <selection activeCell="H30" sqref="H30"/>
    </sheetView>
  </sheetViews>
  <sheetFormatPr defaultRowHeight="15" x14ac:dyDescent="0.25"/>
  <cols>
    <col min="1" max="1" width="11.5703125" customWidth="1"/>
    <col min="2" max="2" width="12" customWidth="1"/>
    <col min="3" max="3" width="6.5703125" customWidth="1"/>
    <col min="4" max="4" width="40.5703125" customWidth="1"/>
    <col min="5" max="5" width="9.140625" customWidth="1"/>
    <col min="6" max="6" width="10.140625" customWidth="1"/>
    <col min="7" max="7" width="12.28515625" customWidth="1"/>
    <col min="8" max="8" width="10.85546875" customWidth="1"/>
    <col min="9" max="9" width="9.7109375" customWidth="1"/>
    <col min="10" max="10" width="14.7109375" customWidth="1"/>
    <col min="11" max="11" width="11.5703125" customWidth="1"/>
    <col min="12" max="12" width="12" customWidth="1"/>
    <col min="13" max="13" width="6.5703125" customWidth="1"/>
    <col min="14" max="14" width="36.7109375" customWidth="1"/>
    <col min="16" max="16" width="10.42578125" bestFit="1" customWidth="1"/>
    <col min="17" max="17" width="12.28515625" customWidth="1"/>
    <col min="18" max="18" width="10.42578125" customWidth="1"/>
    <col min="19" max="19" width="9.7109375" customWidth="1"/>
    <col min="20" max="20" width="15.7109375" customWidth="1"/>
  </cols>
  <sheetData>
    <row r="1" spans="1:20" s="1" customFormat="1" ht="21.95" customHeight="1" x14ac:dyDescent="0.3">
      <c r="A1" s="1" t="s">
        <v>0</v>
      </c>
      <c r="B1" s="210" t="s">
        <v>5</v>
      </c>
      <c r="C1" s="211"/>
      <c r="D1" s="211"/>
      <c r="E1" s="211"/>
      <c r="F1" s="212"/>
      <c r="G1" s="1" t="s">
        <v>1</v>
      </c>
      <c r="H1" s="2" t="s">
        <v>2</v>
      </c>
      <c r="I1" s="1" t="s">
        <v>3</v>
      </c>
      <c r="J1" s="3">
        <v>44445</v>
      </c>
      <c r="K1" s="1" t="s">
        <v>0</v>
      </c>
      <c r="L1" s="210" t="s">
        <v>5</v>
      </c>
      <c r="M1" s="211"/>
      <c r="N1" s="211"/>
      <c r="O1" s="211"/>
      <c r="P1" s="212"/>
      <c r="Q1" s="1" t="s">
        <v>1</v>
      </c>
      <c r="R1" s="2" t="s">
        <v>4</v>
      </c>
      <c r="S1" s="1" t="s">
        <v>3</v>
      </c>
      <c r="T1" s="3">
        <f>J1</f>
        <v>44445</v>
      </c>
    </row>
    <row r="2" spans="1:20" s="1" customFormat="1" ht="21.95" customHeight="1" thickBot="1" x14ac:dyDescent="0.35"/>
    <row r="3" spans="1:20" s="7" customFormat="1" ht="21.95" customHeight="1" thickBot="1" x14ac:dyDescent="0.3">
      <c r="A3" s="132" t="s">
        <v>6</v>
      </c>
      <c r="B3" s="133" t="s">
        <v>7</v>
      </c>
      <c r="C3" s="133" t="s">
        <v>8</v>
      </c>
      <c r="D3" s="133" t="s">
        <v>9</v>
      </c>
      <c r="E3" s="133" t="s">
        <v>10</v>
      </c>
      <c r="F3" s="133" t="s">
        <v>11</v>
      </c>
      <c r="G3" s="133" t="s">
        <v>12</v>
      </c>
      <c r="H3" s="133" t="s">
        <v>13</v>
      </c>
      <c r="I3" s="133" t="s">
        <v>14</v>
      </c>
      <c r="J3" s="134" t="s">
        <v>15</v>
      </c>
      <c r="K3" s="132" t="s">
        <v>6</v>
      </c>
      <c r="L3" s="133" t="s">
        <v>7</v>
      </c>
      <c r="M3" s="133" t="s">
        <v>8</v>
      </c>
      <c r="N3" s="133" t="s">
        <v>9</v>
      </c>
      <c r="O3" s="133" t="s">
        <v>10</v>
      </c>
      <c r="P3" s="133" t="s">
        <v>11</v>
      </c>
      <c r="Q3" s="133" t="s">
        <v>12</v>
      </c>
      <c r="R3" s="133" t="s">
        <v>13</v>
      </c>
      <c r="S3" s="133" t="s">
        <v>14</v>
      </c>
      <c r="T3" s="134" t="s">
        <v>15</v>
      </c>
    </row>
    <row r="4" spans="1:20" s="7" customFormat="1" ht="40.5" customHeight="1" x14ac:dyDescent="0.25">
      <c r="A4" s="135" t="s">
        <v>16</v>
      </c>
      <c r="B4" s="136" t="s">
        <v>17</v>
      </c>
      <c r="C4" s="137">
        <v>31</v>
      </c>
      <c r="D4" s="12" t="s">
        <v>94</v>
      </c>
      <c r="E4" s="13" t="s">
        <v>19</v>
      </c>
      <c r="F4" s="14">
        <v>67.069999999999993</v>
      </c>
      <c r="G4" s="15">
        <v>8.14</v>
      </c>
      <c r="H4" s="15">
        <v>9.68</v>
      </c>
      <c r="I4" s="15">
        <v>38.39</v>
      </c>
      <c r="J4" s="16">
        <v>273</v>
      </c>
      <c r="K4" s="135" t="s">
        <v>16</v>
      </c>
      <c r="L4" s="136" t="s">
        <v>17</v>
      </c>
      <c r="M4" s="137">
        <v>74</v>
      </c>
      <c r="N4" s="12" t="s">
        <v>95</v>
      </c>
      <c r="O4" s="13" t="s">
        <v>21</v>
      </c>
      <c r="P4" s="14">
        <f>75/20*22+15.9-9.2</f>
        <v>89.2</v>
      </c>
      <c r="Q4" s="15">
        <f>8.14/20*22</f>
        <v>8.9540000000000006</v>
      </c>
      <c r="R4" s="15">
        <f>9.68/20*22</f>
        <v>10.648</v>
      </c>
      <c r="S4" s="15">
        <f>38.39/20*22</f>
        <v>42.228999999999999</v>
      </c>
      <c r="T4" s="16">
        <f>273/20*22</f>
        <v>300.3</v>
      </c>
    </row>
    <row r="5" spans="1:20" s="1" customFormat="1" ht="21.95" customHeight="1" x14ac:dyDescent="0.3">
      <c r="A5" s="8"/>
      <c r="B5" s="2" t="s">
        <v>22</v>
      </c>
      <c r="C5" s="17">
        <f>C4</f>
        <v>31</v>
      </c>
      <c r="D5" s="18" t="s">
        <v>23</v>
      </c>
      <c r="E5" s="19" t="s">
        <v>19</v>
      </c>
      <c r="F5" s="20">
        <v>8</v>
      </c>
      <c r="G5" s="21">
        <v>0.06</v>
      </c>
      <c r="H5" s="21">
        <v>0.02</v>
      </c>
      <c r="I5" s="21">
        <v>9.99</v>
      </c>
      <c r="J5" s="22">
        <v>40</v>
      </c>
      <c r="K5" s="8"/>
      <c r="L5" s="2" t="s">
        <v>22</v>
      </c>
      <c r="M5" s="17">
        <f>M4</f>
        <v>74</v>
      </c>
      <c r="N5" s="18" t="s">
        <v>23</v>
      </c>
      <c r="O5" s="19" t="s">
        <v>19</v>
      </c>
      <c r="P5" s="20">
        <v>8</v>
      </c>
      <c r="Q5" s="21">
        <v>0.06</v>
      </c>
      <c r="R5" s="21">
        <v>0.02</v>
      </c>
      <c r="S5" s="21">
        <v>9.99</v>
      </c>
      <c r="T5" s="22">
        <v>40</v>
      </c>
    </row>
    <row r="6" spans="1:20" s="1" customFormat="1" ht="21.95" customHeight="1" x14ac:dyDescent="0.3">
      <c r="A6" s="8"/>
      <c r="B6" s="2" t="s">
        <v>24</v>
      </c>
      <c r="C6" s="17">
        <f t="shared" ref="C6" si="0">C5</f>
        <v>31</v>
      </c>
      <c r="D6" s="18" t="s">
        <v>25</v>
      </c>
      <c r="E6" s="19" t="s">
        <v>26</v>
      </c>
      <c r="F6" s="20">
        <v>9.1999999999999993</v>
      </c>
      <c r="G6" s="23">
        <v>2.29</v>
      </c>
      <c r="H6" s="23">
        <v>0.9</v>
      </c>
      <c r="I6" s="23">
        <v>15</v>
      </c>
      <c r="J6" s="24">
        <v>77.7</v>
      </c>
      <c r="K6" s="8"/>
      <c r="L6" s="2" t="s">
        <v>24</v>
      </c>
      <c r="M6" s="17">
        <f t="shared" ref="M6" si="1">M5</f>
        <v>74</v>
      </c>
      <c r="N6" s="18" t="s">
        <v>25</v>
      </c>
      <c r="O6" s="19" t="s">
        <v>26</v>
      </c>
      <c r="P6" s="20">
        <v>9.1999999999999993</v>
      </c>
      <c r="Q6" s="23">
        <v>2.29</v>
      </c>
      <c r="R6" s="23">
        <v>0.9</v>
      </c>
      <c r="S6" s="23">
        <v>15</v>
      </c>
      <c r="T6" s="24">
        <v>77.7</v>
      </c>
    </row>
    <row r="7" spans="1:20" s="1" customFormat="1" ht="21.95" customHeight="1" x14ac:dyDescent="0.3">
      <c r="A7" s="8"/>
      <c r="B7" s="25" t="s">
        <v>27</v>
      </c>
      <c r="C7" s="17">
        <f>C6</f>
        <v>31</v>
      </c>
      <c r="D7" s="18" t="s">
        <v>28</v>
      </c>
      <c r="E7" s="19" t="s">
        <v>29</v>
      </c>
      <c r="F7" s="20">
        <v>10</v>
      </c>
      <c r="G7" s="23">
        <v>0.2</v>
      </c>
      <c r="H7" s="23">
        <v>0.4</v>
      </c>
      <c r="I7" s="23">
        <v>9.5</v>
      </c>
      <c r="J7" s="24">
        <v>44</v>
      </c>
      <c r="K7" s="8"/>
      <c r="L7" s="25" t="s">
        <v>27</v>
      </c>
      <c r="M7" s="17">
        <f>M6</f>
        <v>74</v>
      </c>
      <c r="N7" s="18" t="s">
        <v>28</v>
      </c>
      <c r="O7" s="19" t="s">
        <v>29</v>
      </c>
      <c r="P7" s="20">
        <v>10</v>
      </c>
      <c r="Q7" s="23">
        <v>0.2</v>
      </c>
      <c r="R7" s="23">
        <v>0.4</v>
      </c>
      <c r="S7" s="23">
        <v>9.5</v>
      </c>
      <c r="T7" s="24">
        <v>44</v>
      </c>
    </row>
    <row r="8" spans="1:20" s="1" customFormat="1" ht="21.95" customHeight="1" thickBot="1" x14ac:dyDescent="0.35">
      <c r="A8" s="26"/>
      <c r="B8" s="27" t="s">
        <v>30</v>
      </c>
      <c r="C8" s="28">
        <f>C7</f>
        <v>31</v>
      </c>
      <c r="D8" s="29" t="s">
        <v>31</v>
      </c>
      <c r="E8" s="30" t="s">
        <v>29</v>
      </c>
      <c r="F8" s="31">
        <v>13</v>
      </c>
      <c r="G8" s="32">
        <v>2.63</v>
      </c>
      <c r="H8" s="32">
        <v>2.66</v>
      </c>
      <c r="I8" s="32">
        <v>0</v>
      </c>
      <c r="J8" s="33">
        <v>3.5</v>
      </c>
      <c r="K8" s="26"/>
      <c r="L8" s="27" t="s">
        <v>30</v>
      </c>
      <c r="M8" s="28">
        <f>M6</f>
        <v>74</v>
      </c>
      <c r="N8" s="29" t="s">
        <v>31</v>
      </c>
      <c r="O8" s="30" t="s">
        <v>29</v>
      </c>
      <c r="P8" s="31">
        <v>13</v>
      </c>
      <c r="Q8" s="32">
        <v>2.63</v>
      </c>
      <c r="R8" s="32">
        <v>2.66</v>
      </c>
      <c r="S8" s="32">
        <v>0</v>
      </c>
      <c r="T8" s="33">
        <v>3.5</v>
      </c>
    </row>
    <row r="9" spans="1:20" s="38" customFormat="1" ht="21.95" customHeight="1" thickBot="1" x14ac:dyDescent="0.3">
      <c r="A9" s="216" t="s">
        <v>32</v>
      </c>
      <c r="B9" s="217"/>
      <c r="C9" s="218"/>
      <c r="D9" s="139"/>
      <c r="E9" s="140"/>
      <c r="F9" s="141">
        <f>SUM(F4:F8)</f>
        <v>107.27</v>
      </c>
      <c r="G9" s="142">
        <f>SUM(G4:G8)</f>
        <v>13.32</v>
      </c>
      <c r="H9" s="142">
        <f t="shared" ref="H9:J9" si="2">SUM(H4:H8)</f>
        <v>13.66</v>
      </c>
      <c r="I9" s="142">
        <f t="shared" si="2"/>
        <v>72.88</v>
      </c>
      <c r="J9" s="143">
        <f t="shared" si="2"/>
        <v>438.2</v>
      </c>
      <c r="K9" s="216" t="s">
        <v>32</v>
      </c>
      <c r="L9" s="217"/>
      <c r="M9" s="218"/>
      <c r="N9" s="139"/>
      <c r="O9" s="140"/>
      <c r="P9" s="141">
        <f>SUM(P4:P8)</f>
        <v>129.4</v>
      </c>
      <c r="Q9" s="142">
        <f>SUM(Q4:Q8)</f>
        <v>14.134</v>
      </c>
      <c r="R9" s="142">
        <f t="shared" ref="R9:T9" si="3">SUM(R4:R8)</f>
        <v>14.628</v>
      </c>
      <c r="S9" s="142">
        <f t="shared" si="3"/>
        <v>76.718999999999994</v>
      </c>
      <c r="T9" s="143">
        <f t="shared" si="3"/>
        <v>465.5</v>
      </c>
    </row>
    <row r="10" spans="1:20" s="7" customFormat="1" ht="24" customHeight="1" x14ac:dyDescent="0.25">
      <c r="A10" s="158" t="s">
        <v>33</v>
      </c>
      <c r="B10" s="136" t="s">
        <v>34</v>
      </c>
      <c r="C10" s="159">
        <v>31</v>
      </c>
      <c r="D10" s="12" t="s">
        <v>96</v>
      </c>
      <c r="E10" s="13" t="s">
        <v>97</v>
      </c>
      <c r="F10" s="14">
        <v>7.5</v>
      </c>
      <c r="G10" s="15">
        <v>0.35</v>
      </c>
      <c r="H10" s="15">
        <v>0.05</v>
      </c>
      <c r="I10" s="15">
        <v>1.3</v>
      </c>
      <c r="J10" s="160">
        <v>7</v>
      </c>
      <c r="K10" s="158" t="s">
        <v>33</v>
      </c>
      <c r="L10" s="136" t="s">
        <v>34</v>
      </c>
      <c r="M10" s="159">
        <v>77</v>
      </c>
      <c r="N10" s="12" t="s">
        <v>96</v>
      </c>
      <c r="O10" s="13" t="s">
        <v>97</v>
      </c>
      <c r="P10" s="14">
        <v>7.5</v>
      </c>
      <c r="Q10" s="15">
        <v>0.35</v>
      </c>
      <c r="R10" s="15">
        <v>0.05</v>
      </c>
      <c r="S10" s="15">
        <v>1.3</v>
      </c>
      <c r="T10" s="16">
        <v>7</v>
      </c>
    </row>
    <row r="11" spans="1:20" s="7" customFormat="1" ht="44.25" customHeight="1" x14ac:dyDescent="0.25">
      <c r="A11" s="161"/>
      <c r="B11" s="162" t="s">
        <v>37</v>
      </c>
      <c r="C11" s="163">
        <f t="shared" ref="C11:C15" si="4">C10</f>
        <v>31</v>
      </c>
      <c r="D11" s="18" t="s">
        <v>98</v>
      </c>
      <c r="E11" s="19" t="s">
        <v>19</v>
      </c>
      <c r="F11" s="20">
        <f>80-5</f>
        <v>75</v>
      </c>
      <c r="G11" s="23">
        <v>4.75</v>
      </c>
      <c r="H11" s="23">
        <v>3.75</v>
      </c>
      <c r="I11" s="23">
        <v>8.5</v>
      </c>
      <c r="J11" s="164">
        <v>86.5</v>
      </c>
      <c r="K11" s="161"/>
      <c r="L11" s="162" t="s">
        <v>37</v>
      </c>
      <c r="M11" s="163">
        <f t="shared" ref="M11:M15" si="5">M10</f>
        <v>77</v>
      </c>
      <c r="N11" s="18" t="s">
        <v>98</v>
      </c>
      <c r="O11" s="19" t="s">
        <v>19</v>
      </c>
      <c r="P11" s="20">
        <f>80-5</f>
        <v>75</v>
      </c>
      <c r="Q11" s="23">
        <v>4.75</v>
      </c>
      <c r="R11" s="23">
        <v>3.75</v>
      </c>
      <c r="S11" s="23">
        <v>8.5</v>
      </c>
      <c r="T11" s="24">
        <v>86.5</v>
      </c>
    </row>
    <row r="12" spans="1:20" s="1" customFormat="1" ht="21.95" customHeight="1" x14ac:dyDescent="0.3">
      <c r="A12" s="165"/>
      <c r="B12" s="2" t="s">
        <v>41</v>
      </c>
      <c r="C12" s="166">
        <f t="shared" si="4"/>
        <v>31</v>
      </c>
      <c r="D12" s="18" t="s">
        <v>99</v>
      </c>
      <c r="E12" s="19" t="s">
        <v>19</v>
      </c>
      <c r="F12" s="20">
        <f>82.6-3.23</f>
        <v>79.36999999999999</v>
      </c>
      <c r="G12" s="23">
        <v>14.71</v>
      </c>
      <c r="H12" s="23">
        <v>12.23</v>
      </c>
      <c r="I12" s="23">
        <v>9.92</v>
      </c>
      <c r="J12" s="164">
        <v>203.85</v>
      </c>
      <c r="K12" s="165"/>
      <c r="L12" s="2" t="s">
        <v>41</v>
      </c>
      <c r="M12" s="166">
        <f t="shared" si="5"/>
        <v>77</v>
      </c>
      <c r="N12" s="18" t="s">
        <v>99</v>
      </c>
      <c r="O12" s="19" t="s">
        <v>100</v>
      </c>
      <c r="P12" s="20">
        <f>82.6/20*25-12.02</f>
        <v>91.23</v>
      </c>
      <c r="Q12" s="23">
        <f>14.71/20*25</f>
        <v>18.387500000000003</v>
      </c>
      <c r="R12" s="23">
        <f>12.23/20*25</f>
        <v>15.287500000000001</v>
      </c>
      <c r="S12" s="23">
        <f>9.92/20*25</f>
        <v>12.4</v>
      </c>
      <c r="T12" s="24">
        <f>203.85/20*25</f>
        <v>254.81249999999997</v>
      </c>
    </row>
    <row r="13" spans="1:20" s="1" customFormat="1" ht="21.95" customHeight="1" x14ac:dyDescent="0.3">
      <c r="A13" s="165"/>
      <c r="B13" s="2" t="s">
        <v>22</v>
      </c>
      <c r="C13" s="166">
        <f t="shared" si="4"/>
        <v>31</v>
      </c>
      <c r="D13" s="42" t="s">
        <v>48</v>
      </c>
      <c r="E13" s="19" t="s">
        <v>19</v>
      </c>
      <c r="F13" s="20">
        <v>24</v>
      </c>
      <c r="G13" s="23">
        <v>0.55000000000000004</v>
      </c>
      <c r="H13" s="23">
        <v>0.08</v>
      </c>
      <c r="I13" s="23">
        <v>20.3</v>
      </c>
      <c r="J13" s="164">
        <v>85.23</v>
      </c>
      <c r="K13" s="165"/>
      <c r="L13" s="2" t="s">
        <v>22</v>
      </c>
      <c r="M13" s="166">
        <f t="shared" si="5"/>
        <v>77</v>
      </c>
      <c r="N13" s="42" t="s">
        <v>48</v>
      </c>
      <c r="O13" s="19" t="s">
        <v>19</v>
      </c>
      <c r="P13" s="20">
        <v>24</v>
      </c>
      <c r="Q13" s="23">
        <v>0.55000000000000004</v>
      </c>
      <c r="R13" s="23">
        <v>0.08</v>
      </c>
      <c r="S13" s="23">
        <v>20.3</v>
      </c>
      <c r="T13" s="24">
        <v>85.23</v>
      </c>
    </row>
    <row r="14" spans="1:20" s="1" customFormat="1" ht="21.95" customHeight="1" x14ac:dyDescent="0.3">
      <c r="A14" s="165"/>
      <c r="B14" s="2" t="s">
        <v>49</v>
      </c>
      <c r="C14" s="166">
        <f t="shared" si="4"/>
        <v>31</v>
      </c>
      <c r="D14" s="18" t="s">
        <v>50</v>
      </c>
      <c r="E14" s="19" t="s">
        <v>51</v>
      </c>
      <c r="F14" s="20">
        <v>6</v>
      </c>
      <c r="G14" s="21">
        <f>4/2</f>
        <v>2</v>
      </c>
      <c r="H14" s="21">
        <f>0.75/2</f>
        <v>0.375</v>
      </c>
      <c r="I14" s="21">
        <f>20.05/2</f>
        <v>10.025</v>
      </c>
      <c r="J14" s="167">
        <f>104/2</f>
        <v>52</v>
      </c>
      <c r="K14" s="165"/>
      <c r="L14" s="2" t="s">
        <v>49</v>
      </c>
      <c r="M14" s="166">
        <f t="shared" si="5"/>
        <v>77</v>
      </c>
      <c r="N14" s="18" t="s">
        <v>50</v>
      </c>
      <c r="O14" s="19" t="s">
        <v>51</v>
      </c>
      <c r="P14" s="20">
        <v>6</v>
      </c>
      <c r="Q14" s="21">
        <f>4/2</f>
        <v>2</v>
      </c>
      <c r="R14" s="21">
        <f>0.75/2</f>
        <v>0.375</v>
      </c>
      <c r="S14" s="21">
        <f>20.05/2</f>
        <v>10.025</v>
      </c>
      <c r="T14" s="22">
        <f>104/2</f>
        <v>52</v>
      </c>
    </row>
    <row r="15" spans="1:20" s="1" customFormat="1" ht="21.95" customHeight="1" x14ac:dyDescent="0.3">
      <c r="A15" s="165"/>
      <c r="B15" s="2" t="s">
        <v>52</v>
      </c>
      <c r="C15" s="166">
        <f t="shared" si="4"/>
        <v>31</v>
      </c>
      <c r="D15" s="18" t="s">
        <v>53</v>
      </c>
      <c r="E15" s="19" t="s">
        <v>51</v>
      </c>
      <c r="F15" s="20">
        <v>6</v>
      </c>
      <c r="G15" s="23">
        <f>2.72/2</f>
        <v>1.36</v>
      </c>
      <c r="H15" s="23">
        <f>0.52/2</f>
        <v>0.26</v>
      </c>
      <c r="I15" s="23">
        <f>15.92/2</f>
        <v>7.96</v>
      </c>
      <c r="J15" s="164">
        <f>80.4/2</f>
        <v>40.200000000000003</v>
      </c>
      <c r="K15" s="165"/>
      <c r="L15" s="2" t="s">
        <v>52</v>
      </c>
      <c r="M15" s="166">
        <f t="shared" si="5"/>
        <v>77</v>
      </c>
      <c r="N15" s="18" t="s">
        <v>53</v>
      </c>
      <c r="O15" s="19" t="s">
        <v>51</v>
      </c>
      <c r="P15" s="20">
        <v>6</v>
      </c>
      <c r="Q15" s="23">
        <f>2.72/2</f>
        <v>1.36</v>
      </c>
      <c r="R15" s="23">
        <f>0.52/2</f>
        <v>0.26</v>
      </c>
      <c r="S15" s="23">
        <f>15.92/2</f>
        <v>7.96</v>
      </c>
      <c r="T15" s="24">
        <f>80.4/2</f>
        <v>40.200000000000003</v>
      </c>
    </row>
    <row r="16" spans="1:20" s="1" customFormat="1" ht="21.95" customHeight="1" thickBot="1" x14ac:dyDescent="0.35">
      <c r="A16" s="168"/>
      <c r="B16" s="43"/>
      <c r="C16" s="169"/>
      <c r="D16" s="29"/>
      <c r="E16" s="30"/>
      <c r="F16" s="44"/>
      <c r="G16" s="32"/>
      <c r="H16" s="32"/>
      <c r="I16" s="32"/>
      <c r="J16" s="170"/>
      <c r="K16" s="168"/>
      <c r="L16" s="43"/>
      <c r="M16" s="169"/>
      <c r="N16" s="29"/>
      <c r="O16" s="30"/>
      <c r="P16" s="44"/>
      <c r="Q16" s="32"/>
      <c r="R16" s="32"/>
      <c r="S16" s="32"/>
      <c r="T16" s="33"/>
    </row>
    <row r="17" spans="1:20" s="38" customFormat="1" ht="21.95" customHeight="1" thickBot="1" x14ac:dyDescent="0.3">
      <c r="A17" s="213" t="s">
        <v>32</v>
      </c>
      <c r="B17" s="214"/>
      <c r="C17" s="215"/>
      <c r="D17" s="144"/>
      <c r="E17" s="145"/>
      <c r="F17" s="146">
        <f>SUM(F10:F16)</f>
        <v>197.87</v>
      </c>
      <c r="G17" s="147">
        <f>SUM(G10:G16)</f>
        <v>23.720000000000002</v>
      </c>
      <c r="H17" s="147">
        <f t="shared" ref="H17:J17" si="6">SUM(H10:H16)</f>
        <v>16.745000000000001</v>
      </c>
      <c r="I17" s="147">
        <f t="shared" si="6"/>
        <v>58.004999999999995</v>
      </c>
      <c r="J17" s="148">
        <f t="shared" si="6"/>
        <v>474.78000000000003</v>
      </c>
      <c r="K17" s="213" t="s">
        <v>32</v>
      </c>
      <c r="L17" s="214"/>
      <c r="M17" s="215"/>
      <c r="N17" s="144"/>
      <c r="O17" s="145"/>
      <c r="P17" s="146">
        <f>SUM(P10:P16)</f>
        <v>209.73000000000002</v>
      </c>
      <c r="Q17" s="147">
        <f t="shared" ref="Q17:T17" si="7">SUM(Q10:Q16)</f>
        <v>27.397500000000004</v>
      </c>
      <c r="R17" s="147">
        <f t="shared" si="7"/>
        <v>19.802500000000002</v>
      </c>
      <c r="S17" s="147">
        <f t="shared" si="7"/>
        <v>60.484999999999999</v>
      </c>
      <c r="T17" s="148">
        <f t="shared" si="7"/>
        <v>525.74250000000006</v>
      </c>
    </row>
    <row r="18" spans="1:20" s="1" customFormat="1" ht="21.95" customHeight="1" x14ac:dyDescent="0.3">
      <c r="A18" s="171" t="s">
        <v>54</v>
      </c>
      <c r="B18" s="10" t="s">
        <v>58</v>
      </c>
      <c r="C18" s="172">
        <v>29</v>
      </c>
      <c r="D18" s="45" t="s">
        <v>101</v>
      </c>
      <c r="E18" s="46" t="s">
        <v>19</v>
      </c>
      <c r="F18" s="14">
        <v>60</v>
      </c>
      <c r="G18" s="15">
        <v>7.2</v>
      </c>
      <c r="H18" s="15">
        <v>3</v>
      </c>
      <c r="I18" s="15">
        <v>7.2</v>
      </c>
      <c r="J18" s="160">
        <v>82</v>
      </c>
      <c r="K18" s="171" t="s">
        <v>54</v>
      </c>
      <c r="L18" s="10" t="s">
        <v>58</v>
      </c>
      <c r="M18" s="172">
        <v>5</v>
      </c>
      <c r="N18" s="45" t="s">
        <v>101</v>
      </c>
      <c r="O18" s="46" t="s">
        <v>19</v>
      </c>
      <c r="P18" s="14">
        <v>60</v>
      </c>
      <c r="Q18" s="15">
        <v>7.2</v>
      </c>
      <c r="R18" s="15">
        <v>3</v>
      </c>
      <c r="S18" s="15">
        <v>7.2</v>
      </c>
      <c r="T18" s="16">
        <v>82</v>
      </c>
    </row>
    <row r="19" spans="1:20" s="1" customFormat="1" ht="21.95" customHeight="1" x14ac:dyDescent="0.3">
      <c r="A19" s="165"/>
      <c r="B19" s="25" t="s">
        <v>22</v>
      </c>
      <c r="C19" s="166">
        <f>C18</f>
        <v>29</v>
      </c>
      <c r="D19" s="173" t="s">
        <v>102</v>
      </c>
      <c r="E19" s="174" t="s">
        <v>57</v>
      </c>
      <c r="F19" s="20">
        <v>29.6</v>
      </c>
      <c r="G19" s="21">
        <v>5</v>
      </c>
      <c r="H19" s="21">
        <v>7.3</v>
      </c>
      <c r="I19" s="21">
        <v>19.899999999999999</v>
      </c>
      <c r="J19" s="167">
        <v>165.2</v>
      </c>
      <c r="K19" s="165"/>
      <c r="L19" s="25" t="s">
        <v>22</v>
      </c>
      <c r="M19" s="166">
        <f>M18</f>
        <v>5</v>
      </c>
      <c r="N19" s="173" t="s">
        <v>102</v>
      </c>
      <c r="O19" s="174" t="s">
        <v>57</v>
      </c>
      <c r="P19" s="20">
        <v>29.6</v>
      </c>
      <c r="Q19" s="21">
        <v>5</v>
      </c>
      <c r="R19" s="21">
        <v>7.3</v>
      </c>
      <c r="S19" s="21">
        <v>19.899999999999999</v>
      </c>
      <c r="T19" s="22">
        <v>165.2</v>
      </c>
    </row>
    <row r="20" spans="1:20" s="1" customFormat="1" ht="21.95" customHeight="1" thickBot="1" x14ac:dyDescent="0.35">
      <c r="A20" s="168"/>
      <c r="B20" s="27"/>
      <c r="C20" s="169"/>
      <c r="D20" s="47"/>
      <c r="E20" s="48"/>
      <c r="F20" s="44"/>
      <c r="G20" s="49"/>
      <c r="H20" s="49"/>
      <c r="I20" s="49"/>
      <c r="J20" s="182"/>
      <c r="K20" s="175"/>
      <c r="L20" s="176" t="s">
        <v>103</v>
      </c>
      <c r="M20" s="177">
        <f>M19</f>
        <v>5</v>
      </c>
      <c r="N20" s="178" t="s">
        <v>104</v>
      </c>
      <c r="O20" s="179" t="s">
        <v>57</v>
      </c>
      <c r="P20" s="141">
        <v>9</v>
      </c>
      <c r="Q20" s="180">
        <v>0.1</v>
      </c>
      <c r="R20" s="180">
        <v>0</v>
      </c>
      <c r="S20" s="180">
        <v>7.94</v>
      </c>
      <c r="T20" s="181">
        <v>32.1</v>
      </c>
    </row>
    <row r="21" spans="1:20" s="38" customFormat="1" ht="21.95" customHeight="1" thickBot="1" x14ac:dyDescent="0.3">
      <c r="A21" s="207" t="s">
        <v>32</v>
      </c>
      <c r="B21" s="208"/>
      <c r="C21" s="209"/>
      <c r="D21" s="51"/>
      <c r="E21" s="52"/>
      <c r="F21" s="149">
        <f t="shared" ref="F21:J21" si="8">SUM(F18:F19)</f>
        <v>89.6</v>
      </c>
      <c r="G21" s="53">
        <f t="shared" si="8"/>
        <v>12.2</v>
      </c>
      <c r="H21" s="53">
        <f t="shared" si="8"/>
        <v>10.3</v>
      </c>
      <c r="I21" s="53">
        <f t="shared" si="8"/>
        <v>27.099999999999998</v>
      </c>
      <c r="J21" s="54">
        <f t="shared" si="8"/>
        <v>247.2</v>
      </c>
      <c r="K21" s="204" t="s">
        <v>32</v>
      </c>
      <c r="L21" s="205"/>
      <c r="M21" s="206"/>
      <c r="N21" s="34"/>
      <c r="O21" s="35"/>
      <c r="P21" s="183">
        <f>SUM(P18:P20)</f>
        <v>98.6</v>
      </c>
      <c r="Q21" s="184">
        <f t="shared" ref="Q21:T21" si="9">SUM(Q18:Q20)</f>
        <v>12.299999999999999</v>
      </c>
      <c r="R21" s="184">
        <f t="shared" si="9"/>
        <v>10.3</v>
      </c>
      <c r="S21" s="184">
        <f t="shared" si="9"/>
        <v>35.04</v>
      </c>
      <c r="T21" s="185">
        <f t="shared" si="9"/>
        <v>279.3</v>
      </c>
    </row>
    <row r="22" spans="1:20" s="55" customFormat="1" x14ac:dyDescent="0.25"/>
    <row r="23" spans="1:20" s="55" customFormat="1" ht="18.75" customHeight="1" x14ac:dyDescent="0.25">
      <c r="D23" s="56" t="s">
        <v>61</v>
      </c>
      <c r="E23" s="57"/>
      <c r="F23" s="58" t="s">
        <v>62</v>
      </c>
      <c r="G23" s="59"/>
      <c r="N23" s="56" t="s">
        <v>61</v>
      </c>
      <c r="O23" s="57"/>
      <c r="P23" s="58" t="s">
        <v>62</v>
      </c>
      <c r="Q23" s="59"/>
    </row>
    <row r="24" spans="1:20" s="55" customFormat="1" ht="18.75" customHeight="1" x14ac:dyDescent="0.25">
      <c r="D24" s="56"/>
      <c r="E24" s="57"/>
      <c r="F24" s="58"/>
      <c r="G24" s="59"/>
      <c r="N24" s="56"/>
      <c r="O24" s="57"/>
      <c r="P24" s="58"/>
      <c r="Q24" s="59"/>
    </row>
    <row r="25" spans="1:20" s="55" customFormat="1" ht="18.75" x14ac:dyDescent="0.25">
      <c r="D25" s="60" t="s">
        <v>63</v>
      </c>
      <c r="E25" s="61"/>
      <c r="F25" s="186" t="s">
        <v>64</v>
      </c>
      <c r="G25" s="59"/>
      <c r="N25" s="60" t="s">
        <v>63</v>
      </c>
      <c r="O25" s="61"/>
      <c r="P25" s="186" t="s">
        <v>64</v>
      </c>
      <c r="Q25" s="59"/>
    </row>
    <row r="26" spans="1:20" x14ac:dyDescent="0.25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8">
    <mergeCell ref="A17:C17"/>
    <mergeCell ref="K17:M17"/>
    <mergeCell ref="A21:C21"/>
    <mergeCell ref="K21:M21"/>
    <mergeCell ref="B1:F1"/>
    <mergeCell ref="L1:P1"/>
    <mergeCell ref="A9:C9"/>
    <mergeCell ref="K9:M9"/>
  </mergeCells>
  <pageMargins left="0.7" right="0.7" top="0.75" bottom="0.75" header="0.3" footer="0.3"/>
  <pageSetup paperSize="9" scale="86" orientation="landscape" r:id="rId1"/>
  <colBreaks count="1" manualBreakCount="1">
    <brk id="10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T24"/>
  <sheetViews>
    <sheetView view="pageBreakPreview" zoomScale="60" zoomScaleNormal="60" workbookViewId="0">
      <selection activeCell="G10" sqref="G10"/>
    </sheetView>
  </sheetViews>
  <sheetFormatPr defaultRowHeight="15" x14ac:dyDescent="0.25"/>
  <cols>
    <col min="1" max="1" width="11.5703125" customWidth="1"/>
    <col min="2" max="2" width="12" customWidth="1"/>
    <col min="3" max="3" width="6.5703125" customWidth="1"/>
    <col min="4" max="4" width="40.5703125" customWidth="1"/>
    <col min="5" max="5" width="9.140625" customWidth="1"/>
    <col min="6" max="6" width="10.140625" customWidth="1"/>
    <col min="7" max="7" width="12.28515625" customWidth="1"/>
    <col min="8" max="8" width="10.85546875" customWidth="1"/>
    <col min="9" max="9" width="9.7109375" customWidth="1"/>
    <col min="10" max="10" width="14.7109375" customWidth="1"/>
    <col min="11" max="11" width="11.5703125" customWidth="1"/>
    <col min="12" max="12" width="12" customWidth="1"/>
    <col min="13" max="13" width="6.5703125" customWidth="1"/>
    <col min="14" max="14" width="36.7109375" customWidth="1"/>
    <col min="16" max="16" width="10.42578125" bestFit="1" customWidth="1"/>
    <col min="17" max="17" width="12.28515625" customWidth="1"/>
    <col min="18" max="18" width="10.42578125" customWidth="1"/>
    <col min="19" max="19" width="9.7109375" customWidth="1"/>
    <col min="20" max="20" width="15.7109375" customWidth="1"/>
  </cols>
  <sheetData>
    <row r="1" spans="1:20" s="1" customFormat="1" ht="21.95" customHeight="1" x14ac:dyDescent="0.3">
      <c r="A1" s="1" t="s">
        <v>0</v>
      </c>
      <c r="B1" s="210" t="s">
        <v>5</v>
      </c>
      <c r="C1" s="211"/>
      <c r="D1" s="211"/>
      <c r="E1" s="211"/>
      <c r="F1" s="212"/>
      <c r="G1" s="1" t="s">
        <v>1</v>
      </c>
      <c r="H1" s="2" t="s">
        <v>2</v>
      </c>
      <c r="I1" s="1" t="s">
        <v>3</v>
      </c>
      <c r="J1" s="3" t="s">
        <v>112</v>
      </c>
      <c r="K1" s="1" t="s">
        <v>0</v>
      </c>
      <c r="L1" s="210" t="s">
        <v>5</v>
      </c>
      <c r="M1" s="211"/>
      <c r="N1" s="211"/>
      <c r="O1" s="211"/>
      <c r="P1" s="212"/>
      <c r="Q1" s="1" t="s">
        <v>1</v>
      </c>
      <c r="R1" s="2" t="s">
        <v>4</v>
      </c>
      <c r="S1" s="1" t="s">
        <v>3</v>
      </c>
      <c r="T1" s="3" t="str">
        <f>J1</f>
        <v>07,09,2021</v>
      </c>
    </row>
    <row r="2" spans="1:20" s="1" customFormat="1" ht="21.95" customHeight="1" thickBot="1" x14ac:dyDescent="0.35"/>
    <row r="3" spans="1:20" s="7" customFormat="1" ht="21.95" customHeight="1" thickBot="1" x14ac:dyDescent="0.3">
      <c r="A3" s="132" t="s">
        <v>6</v>
      </c>
      <c r="B3" s="133" t="s">
        <v>7</v>
      </c>
      <c r="C3" s="133" t="s">
        <v>8</v>
      </c>
      <c r="D3" s="133" t="s">
        <v>9</v>
      </c>
      <c r="E3" s="133" t="s">
        <v>10</v>
      </c>
      <c r="F3" s="133" t="s">
        <v>11</v>
      </c>
      <c r="G3" s="133" t="s">
        <v>12</v>
      </c>
      <c r="H3" s="133" t="s">
        <v>13</v>
      </c>
      <c r="I3" s="133" t="s">
        <v>14</v>
      </c>
      <c r="J3" s="134" t="s">
        <v>15</v>
      </c>
      <c r="K3" s="132" t="s">
        <v>6</v>
      </c>
      <c r="L3" s="133" t="s">
        <v>7</v>
      </c>
      <c r="M3" s="133" t="s">
        <v>8</v>
      </c>
      <c r="N3" s="133" t="s">
        <v>9</v>
      </c>
      <c r="O3" s="133" t="s">
        <v>10</v>
      </c>
      <c r="P3" s="133" t="s">
        <v>11</v>
      </c>
      <c r="Q3" s="133" t="s">
        <v>12</v>
      </c>
      <c r="R3" s="133" t="s">
        <v>13</v>
      </c>
      <c r="S3" s="133" t="s">
        <v>14</v>
      </c>
      <c r="T3" s="134" t="s">
        <v>15</v>
      </c>
    </row>
    <row r="4" spans="1:20" s="7" customFormat="1" ht="24" customHeight="1" x14ac:dyDescent="0.25">
      <c r="A4" s="135" t="s">
        <v>16</v>
      </c>
      <c r="B4" s="136" t="s">
        <v>17</v>
      </c>
      <c r="C4" s="137">
        <v>31</v>
      </c>
      <c r="D4" s="12" t="s">
        <v>105</v>
      </c>
      <c r="E4" s="13" t="s">
        <v>19</v>
      </c>
      <c r="F4" s="14">
        <v>67.069999999999993</v>
      </c>
      <c r="G4" s="15">
        <v>8.14</v>
      </c>
      <c r="H4" s="15">
        <v>9.68</v>
      </c>
      <c r="I4" s="15">
        <v>38.39</v>
      </c>
      <c r="J4" s="16">
        <v>273</v>
      </c>
      <c r="K4" s="135" t="s">
        <v>16</v>
      </c>
      <c r="L4" s="136" t="s">
        <v>17</v>
      </c>
      <c r="M4" s="137">
        <v>73</v>
      </c>
      <c r="N4" s="12" t="s">
        <v>106</v>
      </c>
      <c r="O4" s="13" t="s">
        <v>21</v>
      </c>
      <c r="P4" s="14">
        <f>75/20*22+15.9-9.2</f>
        <v>89.2</v>
      </c>
      <c r="Q4" s="15">
        <f>8.14/20*22</f>
        <v>8.9540000000000006</v>
      </c>
      <c r="R4" s="15">
        <f>9.68/20*22</f>
        <v>10.648</v>
      </c>
      <c r="S4" s="15">
        <f>38.39/20*22</f>
        <v>42.228999999999999</v>
      </c>
      <c r="T4" s="16">
        <f>273/20*22</f>
        <v>300.3</v>
      </c>
    </row>
    <row r="5" spans="1:20" s="1" customFormat="1" ht="21.95" customHeight="1" x14ac:dyDescent="0.3">
      <c r="A5" s="8"/>
      <c r="B5" s="2" t="s">
        <v>22</v>
      </c>
      <c r="C5" s="17">
        <f>C4</f>
        <v>31</v>
      </c>
      <c r="D5" s="18" t="s">
        <v>23</v>
      </c>
      <c r="E5" s="19" t="s">
        <v>19</v>
      </c>
      <c r="F5" s="20">
        <v>8</v>
      </c>
      <c r="G5" s="21">
        <v>0.06</v>
      </c>
      <c r="H5" s="21">
        <v>0.02</v>
      </c>
      <c r="I5" s="21">
        <v>9.99</v>
      </c>
      <c r="J5" s="22">
        <v>40</v>
      </c>
      <c r="K5" s="8"/>
      <c r="L5" s="2" t="s">
        <v>22</v>
      </c>
      <c r="M5" s="17">
        <f>M4</f>
        <v>73</v>
      </c>
      <c r="N5" s="18" t="s">
        <v>23</v>
      </c>
      <c r="O5" s="19" t="s">
        <v>19</v>
      </c>
      <c r="P5" s="20">
        <v>8</v>
      </c>
      <c r="Q5" s="21">
        <v>0.06</v>
      </c>
      <c r="R5" s="21">
        <v>0.02</v>
      </c>
      <c r="S5" s="21">
        <v>9.99</v>
      </c>
      <c r="T5" s="22">
        <v>40</v>
      </c>
    </row>
    <row r="6" spans="1:20" s="1" customFormat="1" ht="21.95" customHeight="1" x14ac:dyDescent="0.3">
      <c r="A6" s="8"/>
      <c r="B6" s="2" t="s">
        <v>24</v>
      </c>
      <c r="C6" s="17">
        <f t="shared" ref="C6" si="0">C5</f>
        <v>31</v>
      </c>
      <c r="D6" s="18" t="s">
        <v>25</v>
      </c>
      <c r="E6" s="19" t="s">
        <v>26</v>
      </c>
      <c r="F6" s="20">
        <v>9.1999999999999993</v>
      </c>
      <c r="G6" s="23">
        <v>2.29</v>
      </c>
      <c r="H6" s="23">
        <v>0.9</v>
      </c>
      <c r="I6" s="23">
        <v>15</v>
      </c>
      <c r="J6" s="24">
        <v>77.7</v>
      </c>
      <c r="K6" s="8"/>
      <c r="L6" s="2" t="s">
        <v>24</v>
      </c>
      <c r="M6" s="17">
        <f t="shared" ref="M6" si="1">M5</f>
        <v>73</v>
      </c>
      <c r="N6" s="18" t="s">
        <v>25</v>
      </c>
      <c r="O6" s="19" t="s">
        <v>26</v>
      </c>
      <c r="P6" s="20">
        <v>9.1999999999999993</v>
      </c>
      <c r="Q6" s="23">
        <v>2.29</v>
      </c>
      <c r="R6" s="23">
        <v>0.9</v>
      </c>
      <c r="S6" s="23">
        <v>15</v>
      </c>
      <c r="T6" s="24">
        <v>77.7</v>
      </c>
    </row>
    <row r="7" spans="1:20" s="1" customFormat="1" ht="21.95" customHeight="1" x14ac:dyDescent="0.3">
      <c r="A7" s="8"/>
      <c r="B7" s="25" t="s">
        <v>27</v>
      </c>
      <c r="C7" s="17">
        <f>C6</f>
        <v>31</v>
      </c>
      <c r="D7" s="18" t="s">
        <v>28</v>
      </c>
      <c r="E7" s="19" t="s">
        <v>29</v>
      </c>
      <c r="F7" s="20">
        <v>10</v>
      </c>
      <c r="G7" s="23">
        <v>0.2</v>
      </c>
      <c r="H7" s="23">
        <v>0.4</v>
      </c>
      <c r="I7" s="23">
        <v>9.5</v>
      </c>
      <c r="J7" s="24">
        <v>44</v>
      </c>
      <c r="K7" s="8"/>
      <c r="L7" s="25" t="s">
        <v>27</v>
      </c>
      <c r="M7" s="17">
        <f>M6</f>
        <v>73</v>
      </c>
      <c r="N7" s="18" t="s">
        <v>28</v>
      </c>
      <c r="O7" s="19" t="s">
        <v>29</v>
      </c>
      <c r="P7" s="20">
        <v>10</v>
      </c>
      <c r="Q7" s="23">
        <v>0.2</v>
      </c>
      <c r="R7" s="23">
        <v>0.4</v>
      </c>
      <c r="S7" s="23">
        <v>9.5</v>
      </c>
      <c r="T7" s="24">
        <v>44</v>
      </c>
    </row>
    <row r="8" spans="1:20" s="1" customFormat="1" ht="21.95" customHeight="1" thickBot="1" x14ac:dyDescent="0.35">
      <c r="A8" s="26"/>
      <c r="B8" s="27" t="s">
        <v>30</v>
      </c>
      <c r="C8" s="28">
        <f>C7</f>
        <v>31</v>
      </c>
      <c r="D8" s="29" t="s">
        <v>31</v>
      </c>
      <c r="E8" s="30" t="s">
        <v>29</v>
      </c>
      <c r="F8" s="31">
        <v>13</v>
      </c>
      <c r="G8" s="32">
        <v>2.63</v>
      </c>
      <c r="H8" s="32">
        <v>2.66</v>
      </c>
      <c r="I8" s="32">
        <v>0</v>
      </c>
      <c r="J8" s="33">
        <v>3.5</v>
      </c>
      <c r="K8" s="26"/>
      <c r="L8" s="27" t="s">
        <v>30</v>
      </c>
      <c r="M8" s="28">
        <f>M6</f>
        <v>73</v>
      </c>
      <c r="N8" s="29" t="s">
        <v>31</v>
      </c>
      <c r="O8" s="30" t="s">
        <v>29</v>
      </c>
      <c r="P8" s="31">
        <v>13</v>
      </c>
      <c r="Q8" s="32">
        <v>2.63</v>
      </c>
      <c r="R8" s="32">
        <v>2.66</v>
      </c>
      <c r="S8" s="32">
        <v>0</v>
      </c>
      <c r="T8" s="33">
        <v>3.5</v>
      </c>
    </row>
    <row r="9" spans="1:20" s="38" customFormat="1" ht="21.95" customHeight="1" thickBot="1" x14ac:dyDescent="0.3">
      <c r="A9" s="216" t="s">
        <v>32</v>
      </c>
      <c r="B9" s="217"/>
      <c r="C9" s="218"/>
      <c r="D9" s="139"/>
      <c r="E9" s="140"/>
      <c r="F9" s="141">
        <f>SUM(F4:F8)</f>
        <v>107.27</v>
      </c>
      <c r="G9" s="142">
        <f>SUM(G4:G8)</f>
        <v>13.32</v>
      </c>
      <c r="H9" s="142">
        <f t="shared" ref="H9:J9" si="2">SUM(H4:H8)</f>
        <v>13.66</v>
      </c>
      <c r="I9" s="142">
        <f t="shared" si="2"/>
        <v>72.88</v>
      </c>
      <c r="J9" s="143">
        <f t="shared" si="2"/>
        <v>438.2</v>
      </c>
      <c r="K9" s="216" t="s">
        <v>32</v>
      </c>
      <c r="L9" s="217"/>
      <c r="M9" s="218"/>
      <c r="N9" s="139"/>
      <c r="O9" s="140"/>
      <c r="P9" s="141">
        <f>SUM(P4:P8)</f>
        <v>129.4</v>
      </c>
      <c r="Q9" s="142">
        <f>SUM(Q4:Q8)</f>
        <v>14.134</v>
      </c>
      <c r="R9" s="142">
        <f t="shared" ref="R9:T9" si="3">SUM(R4:R8)</f>
        <v>14.628</v>
      </c>
      <c r="S9" s="142">
        <f t="shared" si="3"/>
        <v>76.718999999999994</v>
      </c>
      <c r="T9" s="143">
        <f t="shared" si="3"/>
        <v>465.5</v>
      </c>
    </row>
    <row r="10" spans="1:20" s="7" customFormat="1" ht="24" customHeight="1" x14ac:dyDescent="0.25">
      <c r="A10" s="158" t="s">
        <v>33</v>
      </c>
      <c r="B10" s="136" t="s">
        <v>34</v>
      </c>
      <c r="C10" s="159">
        <v>31</v>
      </c>
      <c r="D10" s="12" t="s">
        <v>107</v>
      </c>
      <c r="E10" s="13" t="s">
        <v>97</v>
      </c>
      <c r="F10" s="14">
        <v>6</v>
      </c>
      <c r="G10" s="15">
        <v>0.15</v>
      </c>
      <c r="H10" s="15">
        <v>0.02</v>
      </c>
      <c r="I10" s="15">
        <v>1.5</v>
      </c>
      <c r="J10" s="16">
        <v>7.2</v>
      </c>
      <c r="K10" s="158" t="s">
        <v>33</v>
      </c>
      <c r="L10" s="136" t="s">
        <v>34</v>
      </c>
      <c r="M10" s="159">
        <v>79</v>
      </c>
      <c r="N10" s="12" t="s">
        <v>107</v>
      </c>
      <c r="O10" s="13" t="s">
        <v>97</v>
      </c>
      <c r="P10" s="14">
        <v>6</v>
      </c>
      <c r="Q10" s="15">
        <v>0.15</v>
      </c>
      <c r="R10" s="15">
        <v>0.02</v>
      </c>
      <c r="S10" s="15">
        <v>1.5</v>
      </c>
      <c r="T10" s="16">
        <v>7.2</v>
      </c>
    </row>
    <row r="11" spans="1:20" s="7" customFormat="1" ht="44.25" customHeight="1" x14ac:dyDescent="0.25">
      <c r="A11" s="161"/>
      <c r="B11" s="162" t="s">
        <v>37</v>
      </c>
      <c r="C11" s="40">
        <f t="shared" ref="C11:C16" si="4">C10</f>
        <v>31</v>
      </c>
      <c r="D11" s="18" t="s">
        <v>108</v>
      </c>
      <c r="E11" s="19" t="s">
        <v>39</v>
      </c>
      <c r="F11" s="20">
        <v>65</v>
      </c>
      <c r="G11" s="23">
        <f>2.5-0.5</f>
        <v>2</v>
      </c>
      <c r="H11" s="23">
        <f>4.75-0.5</f>
        <v>4.25</v>
      </c>
      <c r="I11" s="23">
        <f>12.75-1</f>
        <v>11.75</v>
      </c>
      <c r="J11" s="24">
        <f>105-15</f>
        <v>90</v>
      </c>
      <c r="K11" s="161"/>
      <c r="L11" s="162" t="s">
        <v>37</v>
      </c>
      <c r="M11" s="40">
        <f t="shared" ref="M11:M16" si="5">M10</f>
        <v>79</v>
      </c>
      <c r="N11" s="18" t="s">
        <v>108</v>
      </c>
      <c r="O11" s="19" t="s">
        <v>40</v>
      </c>
      <c r="P11" s="20">
        <f>65+8.6-0.74</f>
        <v>72.86</v>
      </c>
      <c r="Q11" s="23">
        <f>2.5-0.5</f>
        <v>2</v>
      </c>
      <c r="R11" s="23">
        <f>4.75-0.5</f>
        <v>4.25</v>
      </c>
      <c r="S11" s="23">
        <f>12.75-1</f>
        <v>11.75</v>
      </c>
      <c r="T11" s="24">
        <f>105-15</f>
        <v>90</v>
      </c>
    </row>
    <row r="12" spans="1:20" s="1" customFormat="1" ht="21.95" customHeight="1" x14ac:dyDescent="0.3">
      <c r="A12" s="165"/>
      <c r="B12" s="2" t="s">
        <v>41</v>
      </c>
      <c r="C12" s="166">
        <f t="shared" si="4"/>
        <v>31</v>
      </c>
      <c r="D12" s="18" t="s">
        <v>109</v>
      </c>
      <c r="E12" s="19" t="s">
        <v>110</v>
      </c>
      <c r="F12" s="20">
        <f>78.6-7.73</f>
        <v>70.86999999999999</v>
      </c>
      <c r="G12" s="23">
        <v>21</v>
      </c>
      <c r="H12" s="23">
        <v>8.1999999999999993</v>
      </c>
      <c r="I12" s="23">
        <v>0.6</v>
      </c>
      <c r="J12" s="24">
        <v>161</v>
      </c>
      <c r="K12" s="165"/>
      <c r="L12" s="2" t="s">
        <v>41</v>
      </c>
      <c r="M12" s="166">
        <f t="shared" si="5"/>
        <v>79</v>
      </c>
      <c r="N12" s="18" t="s">
        <v>109</v>
      </c>
      <c r="O12" s="19" t="s">
        <v>110</v>
      </c>
      <c r="P12" s="20">
        <f>78.6-7.73</f>
        <v>70.86999999999999</v>
      </c>
      <c r="Q12" s="23">
        <v>21</v>
      </c>
      <c r="R12" s="23">
        <v>8.1999999999999993</v>
      </c>
      <c r="S12" s="23">
        <v>0.6</v>
      </c>
      <c r="T12" s="24">
        <v>161</v>
      </c>
    </row>
    <row r="13" spans="1:20" s="1" customFormat="1" ht="21.95" customHeight="1" x14ac:dyDescent="0.3">
      <c r="A13" s="165"/>
      <c r="B13" s="2" t="s">
        <v>44</v>
      </c>
      <c r="C13" s="17">
        <f t="shared" si="4"/>
        <v>31</v>
      </c>
      <c r="D13" s="42" t="s">
        <v>92</v>
      </c>
      <c r="E13" s="19" t="s">
        <v>46</v>
      </c>
      <c r="F13" s="20">
        <v>20</v>
      </c>
      <c r="G13" s="23">
        <v>5.4</v>
      </c>
      <c r="H13" s="23">
        <v>6.54</v>
      </c>
      <c r="I13" s="23">
        <v>64.3</v>
      </c>
      <c r="J13" s="24">
        <v>216.27</v>
      </c>
      <c r="K13" s="165"/>
      <c r="L13" s="2" t="s">
        <v>44</v>
      </c>
      <c r="M13" s="17">
        <f t="shared" si="5"/>
        <v>79</v>
      </c>
      <c r="N13" s="42" t="s">
        <v>92</v>
      </c>
      <c r="O13" s="19" t="s">
        <v>47</v>
      </c>
      <c r="P13" s="20">
        <f>20/15*18</f>
        <v>24</v>
      </c>
      <c r="Q13" s="23">
        <f>5.4/15*18</f>
        <v>6.48</v>
      </c>
      <c r="R13" s="23">
        <f>6.54/15*18</f>
        <v>7.8479999999999999</v>
      </c>
      <c r="S13" s="23">
        <f>64.3/15*18</f>
        <v>77.16</v>
      </c>
      <c r="T13" s="24">
        <f>216.27/15*18</f>
        <v>259.524</v>
      </c>
    </row>
    <row r="14" spans="1:20" s="1" customFormat="1" ht="21.95" customHeight="1" x14ac:dyDescent="0.3">
      <c r="A14" s="165"/>
      <c r="B14" s="2" t="s">
        <v>22</v>
      </c>
      <c r="C14" s="166">
        <f t="shared" si="4"/>
        <v>31</v>
      </c>
      <c r="D14" s="42" t="s">
        <v>48</v>
      </c>
      <c r="E14" s="19" t="s">
        <v>19</v>
      </c>
      <c r="F14" s="20">
        <v>24</v>
      </c>
      <c r="G14" s="23">
        <v>0.55000000000000004</v>
      </c>
      <c r="H14" s="23">
        <v>0.08</v>
      </c>
      <c r="I14" s="23">
        <v>20.3</v>
      </c>
      <c r="J14" s="24">
        <v>85.23</v>
      </c>
      <c r="K14" s="165"/>
      <c r="L14" s="2" t="s">
        <v>22</v>
      </c>
      <c r="M14" s="166">
        <f t="shared" si="5"/>
        <v>79</v>
      </c>
      <c r="N14" s="42" t="s">
        <v>48</v>
      </c>
      <c r="O14" s="19" t="s">
        <v>19</v>
      </c>
      <c r="P14" s="20">
        <v>24</v>
      </c>
      <c r="Q14" s="23">
        <v>0.55000000000000004</v>
      </c>
      <c r="R14" s="23">
        <v>0.08</v>
      </c>
      <c r="S14" s="23">
        <v>20.3</v>
      </c>
      <c r="T14" s="24">
        <v>85.23</v>
      </c>
    </row>
    <row r="15" spans="1:20" s="1" customFormat="1" ht="21.95" customHeight="1" x14ac:dyDescent="0.3">
      <c r="A15" s="165"/>
      <c r="B15" s="2" t="s">
        <v>49</v>
      </c>
      <c r="C15" s="166">
        <f t="shared" si="4"/>
        <v>31</v>
      </c>
      <c r="D15" s="18" t="s">
        <v>50</v>
      </c>
      <c r="E15" s="19" t="s">
        <v>51</v>
      </c>
      <c r="F15" s="20">
        <v>6</v>
      </c>
      <c r="G15" s="21">
        <f>4/2</f>
        <v>2</v>
      </c>
      <c r="H15" s="21">
        <f>0.75/2</f>
        <v>0.375</v>
      </c>
      <c r="I15" s="21">
        <f>20.05/2</f>
        <v>10.025</v>
      </c>
      <c r="J15" s="22">
        <f>104/2</f>
        <v>52</v>
      </c>
      <c r="K15" s="165"/>
      <c r="L15" s="2" t="s">
        <v>49</v>
      </c>
      <c r="M15" s="166">
        <f t="shared" si="5"/>
        <v>79</v>
      </c>
      <c r="N15" s="18" t="s">
        <v>50</v>
      </c>
      <c r="O15" s="19" t="s">
        <v>51</v>
      </c>
      <c r="P15" s="20">
        <v>6</v>
      </c>
      <c r="Q15" s="21">
        <f>4/2</f>
        <v>2</v>
      </c>
      <c r="R15" s="21">
        <f>0.75/2</f>
        <v>0.375</v>
      </c>
      <c r="S15" s="21">
        <f>20.05/2</f>
        <v>10.025</v>
      </c>
      <c r="T15" s="22">
        <f>104/2</f>
        <v>52</v>
      </c>
    </row>
    <row r="16" spans="1:20" s="1" customFormat="1" ht="21.95" customHeight="1" thickBot="1" x14ac:dyDescent="0.35">
      <c r="A16" s="168"/>
      <c r="B16" s="43" t="s">
        <v>52</v>
      </c>
      <c r="C16" s="169">
        <f t="shared" si="4"/>
        <v>31</v>
      </c>
      <c r="D16" s="29" t="s">
        <v>53</v>
      </c>
      <c r="E16" s="30" t="s">
        <v>51</v>
      </c>
      <c r="F16" s="44">
        <v>6</v>
      </c>
      <c r="G16" s="32">
        <f>2.72/2</f>
        <v>1.36</v>
      </c>
      <c r="H16" s="32">
        <f>0.52/2</f>
        <v>0.26</v>
      </c>
      <c r="I16" s="32">
        <f>15.92/2</f>
        <v>7.96</v>
      </c>
      <c r="J16" s="33">
        <f>80.4/2</f>
        <v>40.200000000000003</v>
      </c>
      <c r="K16" s="168"/>
      <c r="L16" s="43" t="s">
        <v>52</v>
      </c>
      <c r="M16" s="169">
        <f t="shared" si="5"/>
        <v>79</v>
      </c>
      <c r="N16" s="29" t="s">
        <v>53</v>
      </c>
      <c r="O16" s="30" t="s">
        <v>51</v>
      </c>
      <c r="P16" s="44">
        <v>6</v>
      </c>
      <c r="Q16" s="32">
        <f>2.72/2</f>
        <v>1.36</v>
      </c>
      <c r="R16" s="32">
        <f>0.52/2</f>
        <v>0.26</v>
      </c>
      <c r="S16" s="32">
        <f>15.92/2</f>
        <v>7.96</v>
      </c>
      <c r="T16" s="33">
        <f>80.4/2</f>
        <v>40.200000000000003</v>
      </c>
    </row>
    <row r="17" spans="1:20" s="38" customFormat="1" ht="21.95" customHeight="1" thickBot="1" x14ac:dyDescent="0.3">
      <c r="A17" s="213" t="s">
        <v>32</v>
      </c>
      <c r="B17" s="214"/>
      <c r="C17" s="215"/>
      <c r="D17" s="144"/>
      <c r="E17" s="145"/>
      <c r="F17" s="146">
        <f>SUM(F10:F16)</f>
        <v>197.87</v>
      </c>
      <c r="G17" s="147">
        <f>SUM(G10:G16)</f>
        <v>32.46</v>
      </c>
      <c r="H17" s="147">
        <f t="shared" ref="H17:J17" si="6">SUM(H10:H16)</f>
        <v>19.724999999999998</v>
      </c>
      <c r="I17" s="147">
        <f t="shared" si="6"/>
        <v>116.43499999999999</v>
      </c>
      <c r="J17" s="148">
        <f t="shared" si="6"/>
        <v>651.90000000000009</v>
      </c>
      <c r="K17" s="213" t="s">
        <v>32</v>
      </c>
      <c r="L17" s="214"/>
      <c r="M17" s="215"/>
      <c r="N17" s="144"/>
      <c r="O17" s="145"/>
      <c r="P17" s="146">
        <f>SUM(P10:P16)</f>
        <v>209.73</v>
      </c>
      <c r="Q17" s="147">
        <f t="shared" ref="Q17:T17" si="7">SUM(Q10:Q16)</f>
        <v>33.54</v>
      </c>
      <c r="R17" s="147">
        <f t="shared" si="7"/>
        <v>21.032999999999998</v>
      </c>
      <c r="S17" s="147">
        <f t="shared" si="7"/>
        <v>129.29499999999999</v>
      </c>
      <c r="T17" s="148">
        <f t="shared" si="7"/>
        <v>695.154</v>
      </c>
    </row>
    <row r="18" spans="1:20" s="1" customFormat="1" ht="21.95" customHeight="1" x14ac:dyDescent="0.3">
      <c r="A18" s="9" t="s">
        <v>54</v>
      </c>
      <c r="B18" s="187" t="s">
        <v>22</v>
      </c>
      <c r="C18" s="11">
        <v>29</v>
      </c>
      <c r="D18" s="45" t="s">
        <v>55</v>
      </c>
      <c r="E18" s="46" t="s">
        <v>19</v>
      </c>
      <c r="F18" s="14">
        <v>53</v>
      </c>
      <c r="G18" s="15">
        <v>0.6</v>
      </c>
      <c r="H18" s="15"/>
      <c r="I18" s="15">
        <v>33</v>
      </c>
      <c r="J18" s="16">
        <v>136</v>
      </c>
      <c r="K18" s="9" t="s">
        <v>54</v>
      </c>
      <c r="L18" s="187" t="s">
        <v>22</v>
      </c>
      <c r="M18" s="11">
        <v>5</v>
      </c>
      <c r="N18" s="45" t="s">
        <v>56</v>
      </c>
      <c r="O18" s="46" t="s">
        <v>57</v>
      </c>
      <c r="P18" s="14">
        <v>62</v>
      </c>
      <c r="Q18" s="15">
        <v>0.6</v>
      </c>
      <c r="R18" s="15"/>
      <c r="S18" s="15">
        <v>33</v>
      </c>
      <c r="T18" s="16">
        <v>136</v>
      </c>
    </row>
    <row r="19" spans="1:20" s="1" customFormat="1" ht="21.95" customHeight="1" thickBot="1" x14ac:dyDescent="0.35">
      <c r="A19" s="26"/>
      <c r="B19" s="43" t="s">
        <v>58</v>
      </c>
      <c r="C19" s="28">
        <f>C18</f>
        <v>29</v>
      </c>
      <c r="D19" s="47" t="s">
        <v>111</v>
      </c>
      <c r="E19" s="48" t="s">
        <v>57</v>
      </c>
      <c r="F19" s="44">
        <v>36.6</v>
      </c>
      <c r="G19" s="49">
        <v>10.6</v>
      </c>
      <c r="H19" s="49">
        <v>12.3</v>
      </c>
      <c r="I19" s="49">
        <v>40.1</v>
      </c>
      <c r="J19" s="50">
        <v>318</v>
      </c>
      <c r="K19" s="26"/>
      <c r="L19" s="43" t="s">
        <v>58</v>
      </c>
      <c r="M19" s="28">
        <f>M18</f>
        <v>5</v>
      </c>
      <c r="N19" s="47" t="s">
        <v>111</v>
      </c>
      <c r="O19" s="48" t="s">
        <v>57</v>
      </c>
      <c r="P19" s="44">
        <v>36.6</v>
      </c>
      <c r="Q19" s="49">
        <v>10.6</v>
      </c>
      <c r="R19" s="49">
        <v>12.3</v>
      </c>
      <c r="S19" s="49">
        <v>40.1</v>
      </c>
      <c r="T19" s="50">
        <v>318</v>
      </c>
    </row>
    <row r="20" spans="1:20" s="38" customFormat="1" ht="21.95" customHeight="1" thickBot="1" x14ac:dyDescent="0.3">
      <c r="A20" s="207" t="s">
        <v>32</v>
      </c>
      <c r="B20" s="208"/>
      <c r="C20" s="209"/>
      <c r="D20" s="51"/>
      <c r="E20" s="52"/>
      <c r="F20" s="149">
        <f>SUM(F18:F19)</f>
        <v>89.6</v>
      </c>
      <c r="G20" s="53">
        <f>SUM(G18:G19)</f>
        <v>11.2</v>
      </c>
      <c r="H20" s="53">
        <f>SUM(H18:H19)</f>
        <v>12.3</v>
      </c>
      <c r="I20" s="53">
        <f>SUM(I18:I19)</f>
        <v>73.099999999999994</v>
      </c>
      <c r="J20" s="54">
        <f>SUM(J18:J19)</f>
        <v>454</v>
      </c>
      <c r="K20" s="207" t="s">
        <v>32</v>
      </c>
      <c r="L20" s="208"/>
      <c r="M20" s="209"/>
      <c r="N20" s="51"/>
      <c r="O20" s="52"/>
      <c r="P20" s="149">
        <f>SUM(P18:P19)</f>
        <v>98.6</v>
      </c>
      <c r="Q20" s="188">
        <f>SUM(Q18:Q19)</f>
        <v>11.2</v>
      </c>
      <c r="R20" s="188">
        <f>SUM(R18:R19)</f>
        <v>12.3</v>
      </c>
      <c r="S20" s="188">
        <f>SUM(S18:S19)</f>
        <v>73.099999999999994</v>
      </c>
      <c r="T20" s="189">
        <f>SUM(T18:T19)</f>
        <v>454</v>
      </c>
    </row>
    <row r="21" spans="1:20" s="55" customFormat="1" x14ac:dyDescent="0.25"/>
    <row r="22" spans="1:20" s="55" customFormat="1" ht="18.75" customHeight="1" x14ac:dyDescent="0.25">
      <c r="D22" s="56" t="s">
        <v>61</v>
      </c>
      <c r="E22" s="57"/>
      <c r="F22" s="58" t="s">
        <v>62</v>
      </c>
      <c r="G22" s="59"/>
      <c r="N22" s="56" t="s">
        <v>61</v>
      </c>
      <c r="O22" s="57"/>
      <c r="P22" s="58" t="s">
        <v>62</v>
      </c>
      <c r="Q22" s="59"/>
      <c r="R22" s="190"/>
    </row>
    <row r="23" spans="1:20" s="55" customFormat="1" ht="18.75" customHeight="1" x14ac:dyDescent="0.25">
      <c r="D23" s="56"/>
      <c r="E23" s="57"/>
      <c r="F23" s="58"/>
      <c r="G23" s="59"/>
      <c r="N23" s="56"/>
      <c r="O23" s="57"/>
      <c r="P23" s="58"/>
      <c r="Q23" s="59"/>
    </row>
    <row r="24" spans="1:20" s="55" customFormat="1" ht="18.75" x14ac:dyDescent="0.25">
      <c r="D24" s="60" t="s">
        <v>63</v>
      </c>
      <c r="E24" s="61"/>
      <c r="F24" s="191" t="s">
        <v>64</v>
      </c>
      <c r="G24" s="59"/>
      <c r="N24" s="60" t="s">
        <v>63</v>
      </c>
      <c r="O24" s="61"/>
      <c r="P24" s="191" t="s">
        <v>64</v>
      </c>
      <c r="Q24" s="59"/>
    </row>
  </sheetData>
  <mergeCells count="8">
    <mergeCell ref="A17:C17"/>
    <mergeCell ref="K17:M17"/>
    <mergeCell ref="A20:C20"/>
    <mergeCell ref="K20:M20"/>
    <mergeCell ref="B1:F1"/>
    <mergeCell ref="L1:P1"/>
    <mergeCell ref="A9:C9"/>
    <mergeCell ref="K9:M9"/>
  </mergeCells>
  <pageMargins left="0.7" right="0.7" top="0.75" bottom="0.75" header="0.3" footer="0.3"/>
  <pageSetup paperSize="9" scale="86" orientation="landscape" r:id="rId1"/>
  <colBreaks count="1" manualBreakCount="1">
    <brk id="10" max="1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BreakPreview" zoomScale="60" zoomScaleNormal="60" workbookViewId="0">
      <selection activeCell="H11" sqref="H11"/>
    </sheetView>
  </sheetViews>
  <sheetFormatPr defaultRowHeight="15" x14ac:dyDescent="0.25"/>
  <cols>
    <col min="1" max="1" width="11.5703125" customWidth="1"/>
    <col min="2" max="2" width="12" customWidth="1"/>
    <col min="3" max="3" width="6.5703125" customWidth="1"/>
    <col min="4" max="4" width="40.5703125" customWidth="1"/>
    <col min="5" max="5" width="9.140625" customWidth="1"/>
    <col min="6" max="6" width="10.140625" customWidth="1"/>
    <col min="7" max="7" width="12.28515625" customWidth="1"/>
    <col min="8" max="8" width="10.85546875" customWidth="1"/>
    <col min="9" max="9" width="9.7109375" customWidth="1"/>
    <col min="10" max="10" width="14.7109375" customWidth="1"/>
    <col min="11" max="11" width="11.5703125" customWidth="1"/>
    <col min="12" max="12" width="12" customWidth="1"/>
    <col min="13" max="13" width="6.5703125" customWidth="1"/>
    <col min="14" max="14" width="36.7109375" customWidth="1"/>
    <col min="16" max="16" width="10.42578125" bestFit="1" customWidth="1"/>
    <col min="17" max="17" width="12.28515625" customWidth="1"/>
    <col min="18" max="18" width="10.42578125" customWidth="1"/>
    <col min="19" max="19" width="9.7109375" customWidth="1"/>
    <col min="20" max="20" width="15.7109375" customWidth="1"/>
  </cols>
  <sheetData>
    <row r="1" spans="1:20" s="1" customFormat="1" ht="21.95" customHeight="1" x14ac:dyDescent="0.3">
      <c r="A1" s="1" t="s">
        <v>0</v>
      </c>
      <c r="B1" s="210" t="s">
        <v>5</v>
      </c>
      <c r="C1" s="211"/>
      <c r="D1" s="211"/>
      <c r="E1" s="211"/>
      <c r="F1" s="212"/>
      <c r="G1" s="1" t="s">
        <v>1</v>
      </c>
      <c r="H1" s="2" t="s">
        <v>2</v>
      </c>
      <c r="I1" s="1" t="s">
        <v>3</v>
      </c>
      <c r="J1" s="3">
        <v>44467</v>
      </c>
      <c r="K1" s="1" t="s">
        <v>0</v>
      </c>
      <c r="L1" s="210" t="s">
        <v>5</v>
      </c>
      <c r="M1" s="211"/>
      <c r="N1" s="211"/>
      <c r="O1" s="211"/>
      <c r="P1" s="212"/>
      <c r="Q1" s="1" t="s">
        <v>1</v>
      </c>
      <c r="R1" s="2" t="s">
        <v>4</v>
      </c>
      <c r="S1" s="1" t="s">
        <v>3</v>
      </c>
      <c r="T1" s="3">
        <f>J1</f>
        <v>44467</v>
      </c>
    </row>
    <row r="2" spans="1:20" s="1" customFormat="1" ht="21.95" customHeight="1" thickBot="1" x14ac:dyDescent="0.35"/>
    <row r="3" spans="1:20" s="7" customFormat="1" ht="21.95" customHeight="1" thickBot="1" x14ac:dyDescent="0.3">
      <c r="A3" s="132" t="s">
        <v>6</v>
      </c>
      <c r="B3" s="133" t="s">
        <v>7</v>
      </c>
      <c r="C3" s="133" t="s">
        <v>8</v>
      </c>
      <c r="D3" s="133" t="s">
        <v>9</v>
      </c>
      <c r="E3" s="133" t="s">
        <v>10</v>
      </c>
      <c r="F3" s="133" t="s">
        <v>11</v>
      </c>
      <c r="G3" s="133" t="s">
        <v>12</v>
      </c>
      <c r="H3" s="133" t="s">
        <v>13</v>
      </c>
      <c r="I3" s="133" t="s">
        <v>14</v>
      </c>
      <c r="J3" s="134" t="s">
        <v>15</v>
      </c>
      <c r="K3" s="132" t="s">
        <v>6</v>
      </c>
      <c r="L3" s="133" t="s">
        <v>7</v>
      </c>
      <c r="M3" s="133" t="s">
        <v>8</v>
      </c>
      <c r="N3" s="133" t="s">
        <v>9</v>
      </c>
      <c r="O3" s="133" t="s">
        <v>10</v>
      </c>
      <c r="P3" s="133" t="s">
        <v>11</v>
      </c>
      <c r="Q3" s="133" t="s">
        <v>12</v>
      </c>
      <c r="R3" s="133" t="s">
        <v>13</v>
      </c>
      <c r="S3" s="133" t="s">
        <v>14</v>
      </c>
      <c r="T3" s="134" t="s">
        <v>15</v>
      </c>
    </row>
    <row r="4" spans="1:20" s="7" customFormat="1" ht="42.75" customHeight="1" x14ac:dyDescent="0.25">
      <c r="A4" s="135" t="s">
        <v>16</v>
      </c>
      <c r="B4" s="136" t="s">
        <v>17</v>
      </c>
      <c r="C4" s="137">
        <v>31</v>
      </c>
      <c r="D4" s="12" t="s">
        <v>113</v>
      </c>
      <c r="E4" s="13" t="s">
        <v>19</v>
      </c>
      <c r="F4" s="14">
        <f>75-14-7.93</f>
        <v>53.07</v>
      </c>
      <c r="G4" s="192">
        <v>8.14</v>
      </c>
      <c r="H4" s="192">
        <v>9.68</v>
      </c>
      <c r="I4" s="15">
        <v>38.39</v>
      </c>
      <c r="J4" s="16">
        <v>273</v>
      </c>
      <c r="K4" s="135" t="s">
        <v>16</v>
      </c>
      <c r="L4" s="136" t="s">
        <v>17</v>
      </c>
      <c r="M4" s="137">
        <v>73</v>
      </c>
      <c r="N4" s="12" t="s">
        <v>114</v>
      </c>
      <c r="O4" s="13" t="s">
        <v>21</v>
      </c>
      <c r="P4" s="14">
        <f>75/20*22+1.9-9.2</f>
        <v>75.2</v>
      </c>
      <c r="Q4" s="15">
        <f>8.14/20*22</f>
        <v>8.9540000000000006</v>
      </c>
      <c r="R4" s="15">
        <f>9.68/20*22</f>
        <v>10.648</v>
      </c>
      <c r="S4" s="15">
        <f>38.39/20*22</f>
        <v>42.228999999999999</v>
      </c>
      <c r="T4" s="16">
        <f>273/20*22</f>
        <v>300.3</v>
      </c>
    </row>
    <row r="5" spans="1:20" s="1" customFormat="1" ht="21.95" customHeight="1" x14ac:dyDescent="0.3">
      <c r="A5" s="8"/>
      <c r="B5" s="2" t="s">
        <v>22</v>
      </c>
      <c r="C5" s="17">
        <f>C4</f>
        <v>31</v>
      </c>
      <c r="D5" s="18" t="s">
        <v>115</v>
      </c>
      <c r="E5" s="19" t="s">
        <v>19</v>
      </c>
      <c r="F5" s="138">
        <v>35</v>
      </c>
      <c r="G5" s="23">
        <v>2.8</v>
      </c>
      <c r="H5" s="23">
        <v>3.2</v>
      </c>
      <c r="I5" s="23">
        <v>14.8</v>
      </c>
      <c r="J5" s="24">
        <v>100</v>
      </c>
      <c r="K5" s="8"/>
      <c r="L5" s="2" t="s">
        <v>22</v>
      </c>
      <c r="M5" s="17">
        <f>M4</f>
        <v>73</v>
      </c>
      <c r="N5" s="18" t="s">
        <v>115</v>
      </c>
      <c r="O5" s="19" t="s">
        <v>19</v>
      </c>
      <c r="P5" s="138">
        <v>35</v>
      </c>
      <c r="Q5" s="23">
        <v>2.8</v>
      </c>
      <c r="R5" s="23">
        <v>3.2</v>
      </c>
      <c r="S5" s="23">
        <v>14.8</v>
      </c>
      <c r="T5" s="24">
        <v>100</v>
      </c>
    </row>
    <row r="6" spans="1:20" s="1" customFormat="1" ht="21.95" customHeight="1" x14ac:dyDescent="0.3">
      <c r="A6" s="8"/>
      <c r="B6" s="2" t="s">
        <v>24</v>
      </c>
      <c r="C6" s="17">
        <f t="shared" ref="C6" si="0">C5</f>
        <v>31</v>
      </c>
      <c r="D6" s="18" t="s">
        <v>25</v>
      </c>
      <c r="E6" s="19" t="s">
        <v>26</v>
      </c>
      <c r="F6" s="20">
        <v>9.1999999999999993</v>
      </c>
      <c r="G6" s="23">
        <v>2.29</v>
      </c>
      <c r="H6" s="23">
        <v>0.9</v>
      </c>
      <c r="I6" s="23">
        <v>15</v>
      </c>
      <c r="J6" s="24">
        <v>77.7</v>
      </c>
      <c r="K6" s="8"/>
      <c r="L6" s="2" t="s">
        <v>24</v>
      </c>
      <c r="M6" s="17">
        <f t="shared" ref="M6" si="1">M5</f>
        <v>73</v>
      </c>
      <c r="N6" s="18" t="s">
        <v>25</v>
      </c>
      <c r="O6" s="19" t="s">
        <v>26</v>
      </c>
      <c r="P6" s="20">
        <v>9.1999999999999993</v>
      </c>
      <c r="Q6" s="23">
        <v>2.29</v>
      </c>
      <c r="R6" s="23">
        <v>0.9</v>
      </c>
      <c r="S6" s="23">
        <v>15</v>
      </c>
      <c r="T6" s="24">
        <v>77.7</v>
      </c>
    </row>
    <row r="7" spans="1:20" s="1" customFormat="1" ht="21.95" customHeight="1" x14ac:dyDescent="0.3">
      <c r="A7" s="8"/>
      <c r="B7" s="25" t="s">
        <v>27</v>
      </c>
      <c r="C7" s="17">
        <f>C6</f>
        <v>31</v>
      </c>
      <c r="D7" s="18" t="s">
        <v>28</v>
      </c>
      <c r="E7" s="19" t="s">
        <v>29</v>
      </c>
      <c r="F7" s="20">
        <v>10</v>
      </c>
      <c r="G7" s="23">
        <v>0.2</v>
      </c>
      <c r="H7" s="23">
        <v>0.4</v>
      </c>
      <c r="I7" s="23">
        <v>9.5</v>
      </c>
      <c r="J7" s="24">
        <v>44</v>
      </c>
      <c r="K7" s="8"/>
      <c r="L7" s="25" t="s">
        <v>27</v>
      </c>
      <c r="M7" s="17">
        <f>M6</f>
        <v>73</v>
      </c>
      <c r="N7" s="18" t="s">
        <v>28</v>
      </c>
      <c r="O7" s="19" t="s">
        <v>29</v>
      </c>
      <c r="P7" s="20">
        <v>10</v>
      </c>
      <c r="Q7" s="23">
        <v>0.2</v>
      </c>
      <c r="R7" s="23">
        <v>0.4</v>
      </c>
      <c r="S7" s="23">
        <v>9.5</v>
      </c>
      <c r="T7" s="24">
        <v>44</v>
      </c>
    </row>
    <row r="8" spans="1:20" s="1" customFormat="1" ht="21.95" customHeight="1" thickBot="1" x14ac:dyDescent="0.35">
      <c r="A8" s="26"/>
      <c r="B8" s="27"/>
      <c r="C8" s="28"/>
      <c r="D8" s="29"/>
      <c r="E8" s="30"/>
      <c r="F8" s="31"/>
      <c r="G8" s="32"/>
      <c r="H8" s="32"/>
      <c r="I8" s="32"/>
      <c r="J8" s="33"/>
      <c r="K8" s="26"/>
      <c r="L8" s="27"/>
      <c r="M8" s="28"/>
      <c r="N8" s="29"/>
      <c r="O8" s="30"/>
      <c r="P8" s="31"/>
      <c r="Q8" s="32"/>
      <c r="R8" s="32"/>
      <c r="S8" s="32"/>
      <c r="T8" s="33"/>
    </row>
    <row r="9" spans="1:20" s="38" customFormat="1" ht="21.95" customHeight="1" thickBot="1" x14ac:dyDescent="0.3">
      <c r="A9" s="216" t="s">
        <v>32</v>
      </c>
      <c r="B9" s="217"/>
      <c r="C9" s="218"/>
      <c r="D9" s="139"/>
      <c r="E9" s="140"/>
      <c r="F9" s="141">
        <f>SUM(F4:F8)</f>
        <v>107.27</v>
      </c>
      <c r="G9" s="142">
        <f>SUM(G4:G8)</f>
        <v>13.43</v>
      </c>
      <c r="H9" s="142">
        <f t="shared" ref="H9:J9" si="2">SUM(H4:H8)</f>
        <v>14.18</v>
      </c>
      <c r="I9" s="142">
        <f t="shared" si="2"/>
        <v>77.69</v>
      </c>
      <c r="J9" s="143">
        <f t="shared" si="2"/>
        <v>494.7</v>
      </c>
      <c r="K9" s="216" t="s">
        <v>32</v>
      </c>
      <c r="L9" s="217"/>
      <c r="M9" s="218"/>
      <c r="N9" s="139"/>
      <c r="O9" s="140"/>
      <c r="P9" s="141">
        <f>SUM(P4:P8)</f>
        <v>129.4</v>
      </c>
      <c r="Q9" s="142">
        <f>SUM(Q4:Q8)</f>
        <v>14.244</v>
      </c>
      <c r="R9" s="142">
        <f t="shared" ref="R9:T9" si="3">SUM(R4:R8)</f>
        <v>15.148</v>
      </c>
      <c r="S9" s="142">
        <f t="shared" si="3"/>
        <v>81.528999999999996</v>
      </c>
      <c r="T9" s="143">
        <f t="shared" si="3"/>
        <v>522</v>
      </c>
    </row>
    <row r="10" spans="1:20" s="7" customFormat="1" ht="44.25" customHeight="1" x14ac:dyDescent="0.25">
      <c r="A10" s="158" t="s">
        <v>33</v>
      </c>
      <c r="B10" s="136" t="s">
        <v>34</v>
      </c>
      <c r="C10" s="159">
        <v>31</v>
      </c>
      <c r="D10" s="12" t="s">
        <v>116</v>
      </c>
      <c r="E10" s="13" t="s">
        <v>60</v>
      </c>
      <c r="F10" s="14">
        <v>20</v>
      </c>
      <c r="G10" s="15">
        <v>1.4</v>
      </c>
      <c r="H10" s="15">
        <v>3.5</v>
      </c>
      <c r="I10" s="15">
        <v>3.2</v>
      </c>
      <c r="J10" s="16">
        <v>50.7</v>
      </c>
      <c r="K10" s="193" t="s">
        <v>33</v>
      </c>
      <c r="L10" s="136" t="s">
        <v>34</v>
      </c>
      <c r="M10" s="159">
        <v>79</v>
      </c>
      <c r="N10" s="12" t="s">
        <v>116</v>
      </c>
      <c r="O10" s="13" t="s">
        <v>60</v>
      </c>
      <c r="P10" s="14">
        <v>20</v>
      </c>
      <c r="Q10" s="15">
        <v>1.4</v>
      </c>
      <c r="R10" s="15">
        <v>3.5</v>
      </c>
      <c r="S10" s="15">
        <v>3.2</v>
      </c>
      <c r="T10" s="16">
        <v>50.7</v>
      </c>
    </row>
    <row r="11" spans="1:20" s="7" customFormat="1" ht="44.25" customHeight="1" x14ac:dyDescent="0.25">
      <c r="A11" s="161"/>
      <c r="B11" s="162" t="s">
        <v>37</v>
      </c>
      <c r="C11" s="40">
        <f t="shared" ref="C11:C16" si="4">C10</f>
        <v>31</v>
      </c>
      <c r="D11" s="18" t="s">
        <v>117</v>
      </c>
      <c r="E11" s="19" t="s">
        <v>39</v>
      </c>
      <c r="F11" s="20">
        <v>70</v>
      </c>
      <c r="G11" s="23">
        <v>3.5</v>
      </c>
      <c r="H11" s="23">
        <v>4.5</v>
      </c>
      <c r="I11" s="23">
        <v>14.75</v>
      </c>
      <c r="J11" s="24">
        <v>112.5</v>
      </c>
      <c r="K11" s="194"/>
      <c r="L11" s="162" t="s">
        <v>37</v>
      </c>
      <c r="M11" s="40">
        <f t="shared" ref="M11:M16" si="5">M10</f>
        <v>79</v>
      </c>
      <c r="N11" s="18" t="s">
        <v>117</v>
      </c>
      <c r="O11" s="19" t="s">
        <v>40</v>
      </c>
      <c r="P11" s="20">
        <f>70+9.6-0.74</f>
        <v>78.86</v>
      </c>
      <c r="Q11" s="23">
        <v>3.5</v>
      </c>
      <c r="R11" s="23">
        <v>4.5</v>
      </c>
      <c r="S11" s="23">
        <v>14.75</v>
      </c>
      <c r="T11" s="24">
        <v>112.5</v>
      </c>
    </row>
    <row r="12" spans="1:20" s="1" customFormat="1" ht="21.95" customHeight="1" x14ac:dyDescent="0.3">
      <c r="A12" s="165"/>
      <c r="B12" s="2" t="s">
        <v>41</v>
      </c>
      <c r="C12" s="166">
        <f t="shared" si="4"/>
        <v>31</v>
      </c>
      <c r="D12" s="18" t="s">
        <v>118</v>
      </c>
      <c r="E12" s="19" t="s">
        <v>119</v>
      </c>
      <c r="F12" s="20">
        <f>78.6-14-7.73</f>
        <v>56.86999999999999</v>
      </c>
      <c r="G12" s="23">
        <v>10.6</v>
      </c>
      <c r="H12" s="23">
        <v>18.600000000000001</v>
      </c>
      <c r="I12" s="23">
        <v>1</v>
      </c>
      <c r="J12" s="24">
        <v>207.7</v>
      </c>
      <c r="K12" s="195"/>
      <c r="L12" s="2" t="s">
        <v>41</v>
      </c>
      <c r="M12" s="166">
        <f t="shared" si="5"/>
        <v>79</v>
      </c>
      <c r="N12" s="18" t="s">
        <v>118</v>
      </c>
      <c r="O12" s="19" t="s">
        <v>119</v>
      </c>
      <c r="P12" s="20">
        <f>78.6-14-7.73</f>
        <v>56.86999999999999</v>
      </c>
      <c r="Q12" s="23">
        <v>12.9</v>
      </c>
      <c r="R12" s="23">
        <v>18.3</v>
      </c>
      <c r="S12" s="23">
        <v>4</v>
      </c>
      <c r="T12" s="24">
        <v>235.9</v>
      </c>
    </row>
    <row r="13" spans="1:20" s="1" customFormat="1" ht="21.95" customHeight="1" x14ac:dyDescent="0.3">
      <c r="A13" s="165"/>
      <c r="B13" s="2" t="s">
        <v>44</v>
      </c>
      <c r="C13" s="17">
        <f t="shared" si="4"/>
        <v>31</v>
      </c>
      <c r="D13" s="42" t="s">
        <v>45</v>
      </c>
      <c r="E13" s="19" t="s">
        <v>46</v>
      </c>
      <c r="F13" s="20">
        <v>15</v>
      </c>
      <c r="G13" s="23">
        <v>5.4</v>
      </c>
      <c r="H13" s="23">
        <v>6.54</v>
      </c>
      <c r="I13" s="23">
        <v>64.3</v>
      </c>
      <c r="J13" s="24">
        <v>216.27</v>
      </c>
      <c r="K13" s="195"/>
      <c r="L13" s="2" t="s">
        <v>44</v>
      </c>
      <c r="M13" s="17">
        <f t="shared" si="5"/>
        <v>79</v>
      </c>
      <c r="N13" s="42" t="s">
        <v>45</v>
      </c>
      <c r="O13" s="19" t="s">
        <v>47</v>
      </c>
      <c r="P13" s="20">
        <v>18</v>
      </c>
      <c r="Q13" s="23">
        <f>5.4/15*18</f>
        <v>6.48</v>
      </c>
      <c r="R13" s="23">
        <f>6.54/15*18</f>
        <v>7.8479999999999999</v>
      </c>
      <c r="S13" s="23">
        <f>64.3/15*18</f>
        <v>77.16</v>
      </c>
      <c r="T13" s="24">
        <f>216.27/15*18</f>
        <v>259.524</v>
      </c>
    </row>
    <row r="14" spans="1:20" s="1" customFormat="1" ht="21.95" customHeight="1" x14ac:dyDescent="0.3">
      <c r="A14" s="165"/>
      <c r="B14" s="2" t="s">
        <v>22</v>
      </c>
      <c r="C14" s="166">
        <f t="shared" si="4"/>
        <v>31</v>
      </c>
      <c r="D14" s="42" t="s">
        <v>48</v>
      </c>
      <c r="E14" s="19" t="s">
        <v>19</v>
      </c>
      <c r="F14" s="20">
        <v>24</v>
      </c>
      <c r="G14" s="23">
        <v>0.55000000000000004</v>
      </c>
      <c r="H14" s="23">
        <v>0.08</v>
      </c>
      <c r="I14" s="23">
        <v>20.3</v>
      </c>
      <c r="J14" s="24">
        <v>85.23</v>
      </c>
      <c r="K14" s="195"/>
      <c r="L14" s="2" t="s">
        <v>22</v>
      </c>
      <c r="M14" s="166">
        <f t="shared" si="5"/>
        <v>79</v>
      </c>
      <c r="N14" s="42" t="s">
        <v>48</v>
      </c>
      <c r="O14" s="19" t="s">
        <v>19</v>
      </c>
      <c r="P14" s="20">
        <v>24</v>
      </c>
      <c r="Q14" s="23">
        <v>0.55000000000000004</v>
      </c>
      <c r="R14" s="23">
        <v>0.08</v>
      </c>
      <c r="S14" s="23">
        <v>20.3</v>
      </c>
      <c r="T14" s="24">
        <v>85.23</v>
      </c>
    </row>
    <row r="15" spans="1:20" s="1" customFormat="1" ht="21.95" customHeight="1" x14ac:dyDescent="0.3">
      <c r="A15" s="165"/>
      <c r="B15" s="2" t="s">
        <v>49</v>
      </c>
      <c r="C15" s="166">
        <f t="shared" si="4"/>
        <v>31</v>
      </c>
      <c r="D15" s="18" t="s">
        <v>50</v>
      </c>
      <c r="E15" s="19" t="s">
        <v>51</v>
      </c>
      <c r="F15" s="20">
        <v>6</v>
      </c>
      <c r="G15" s="21">
        <f>4/2</f>
        <v>2</v>
      </c>
      <c r="H15" s="21">
        <f>0.75/2</f>
        <v>0.375</v>
      </c>
      <c r="I15" s="21">
        <f>20.05/2</f>
        <v>10.025</v>
      </c>
      <c r="J15" s="22">
        <f>104/2</f>
        <v>52</v>
      </c>
      <c r="K15" s="195"/>
      <c r="L15" s="2" t="s">
        <v>49</v>
      </c>
      <c r="M15" s="166">
        <f t="shared" si="5"/>
        <v>79</v>
      </c>
      <c r="N15" s="18" t="s">
        <v>50</v>
      </c>
      <c r="O15" s="19" t="s">
        <v>51</v>
      </c>
      <c r="P15" s="20">
        <v>6</v>
      </c>
      <c r="Q15" s="21">
        <f>4/2</f>
        <v>2</v>
      </c>
      <c r="R15" s="21">
        <f>0.75/2</f>
        <v>0.375</v>
      </c>
      <c r="S15" s="21">
        <f>20.05/2</f>
        <v>10.025</v>
      </c>
      <c r="T15" s="22">
        <f>104/2</f>
        <v>52</v>
      </c>
    </row>
    <row r="16" spans="1:20" s="1" customFormat="1" ht="21.95" customHeight="1" thickBot="1" x14ac:dyDescent="0.35">
      <c r="A16" s="168"/>
      <c r="B16" s="43" t="s">
        <v>52</v>
      </c>
      <c r="C16" s="169">
        <f t="shared" si="4"/>
        <v>31</v>
      </c>
      <c r="D16" s="29" t="s">
        <v>53</v>
      </c>
      <c r="E16" s="30" t="s">
        <v>51</v>
      </c>
      <c r="F16" s="44">
        <v>6</v>
      </c>
      <c r="G16" s="32">
        <f>2.72/2</f>
        <v>1.36</v>
      </c>
      <c r="H16" s="32">
        <f>0.52/2</f>
        <v>0.26</v>
      </c>
      <c r="I16" s="32">
        <f>15.92/2</f>
        <v>7.96</v>
      </c>
      <c r="J16" s="33">
        <f>80.4/2</f>
        <v>40.200000000000003</v>
      </c>
      <c r="K16" s="196"/>
      <c r="L16" s="43" t="s">
        <v>52</v>
      </c>
      <c r="M16" s="169">
        <f t="shared" si="5"/>
        <v>79</v>
      </c>
      <c r="N16" s="29" t="s">
        <v>53</v>
      </c>
      <c r="O16" s="30" t="s">
        <v>51</v>
      </c>
      <c r="P16" s="44">
        <v>6</v>
      </c>
      <c r="Q16" s="32">
        <f>2.72/2</f>
        <v>1.36</v>
      </c>
      <c r="R16" s="32">
        <f>0.52/2</f>
        <v>0.26</v>
      </c>
      <c r="S16" s="32">
        <f>15.92/2</f>
        <v>7.96</v>
      </c>
      <c r="T16" s="33">
        <f>80.4/2</f>
        <v>40.200000000000003</v>
      </c>
    </row>
    <row r="17" spans="1:20" s="38" customFormat="1" ht="21.95" customHeight="1" thickBot="1" x14ac:dyDescent="0.3">
      <c r="A17" s="213" t="s">
        <v>32</v>
      </c>
      <c r="B17" s="214"/>
      <c r="C17" s="215"/>
      <c r="D17" s="144"/>
      <c r="E17" s="145"/>
      <c r="F17" s="146">
        <f>SUM(F10:F16)</f>
        <v>197.87</v>
      </c>
      <c r="G17" s="147">
        <f>SUM(G10:G16)</f>
        <v>24.81</v>
      </c>
      <c r="H17" s="147">
        <f t="shared" ref="H17:J17" si="6">SUM(H10:H16)</f>
        <v>33.854999999999997</v>
      </c>
      <c r="I17" s="147">
        <f t="shared" si="6"/>
        <v>121.535</v>
      </c>
      <c r="J17" s="148">
        <f t="shared" si="6"/>
        <v>764.6</v>
      </c>
      <c r="K17" s="213" t="s">
        <v>32</v>
      </c>
      <c r="L17" s="214"/>
      <c r="M17" s="215"/>
      <c r="N17" s="144"/>
      <c r="O17" s="145"/>
      <c r="P17" s="146">
        <f>SUM(P10:P16)</f>
        <v>209.73</v>
      </c>
      <c r="Q17" s="147">
        <f t="shared" ref="Q17:T17" si="7">SUM(Q10:Q16)</f>
        <v>28.19</v>
      </c>
      <c r="R17" s="147">
        <f t="shared" si="7"/>
        <v>34.863</v>
      </c>
      <c r="S17" s="147">
        <f t="shared" si="7"/>
        <v>137.39500000000001</v>
      </c>
      <c r="T17" s="148">
        <f t="shared" si="7"/>
        <v>836.05400000000009</v>
      </c>
    </row>
    <row r="18" spans="1:20" s="1" customFormat="1" ht="21.95" customHeight="1" x14ac:dyDescent="0.3">
      <c r="A18" s="9" t="s">
        <v>54</v>
      </c>
      <c r="B18" s="187" t="s">
        <v>22</v>
      </c>
      <c r="C18" s="11">
        <v>29</v>
      </c>
      <c r="D18" s="45" t="s">
        <v>55</v>
      </c>
      <c r="E18" s="46" t="s">
        <v>19</v>
      </c>
      <c r="F18" s="14">
        <v>53</v>
      </c>
      <c r="G18" s="15">
        <v>0.6</v>
      </c>
      <c r="H18" s="15"/>
      <c r="I18" s="15">
        <v>33</v>
      </c>
      <c r="J18" s="16">
        <v>136</v>
      </c>
      <c r="K18" s="9" t="s">
        <v>54</v>
      </c>
      <c r="L18" s="187" t="s">
        <v>22</v>
      </c>
      <c r="M18" s="11">
        <v>4</v>
      </c>
      <c r="N18" s="45" t="s">
        <v>56</v>
      </c>
      <c r="O18" s="46" t="s">
        <v>57</v>
      </c>
      <c r="P18" s="14">
        <v>62</v>
      </c>
      <c r="Q18" s="15">
        <v>0.6</v>
      </c>
      <c r="R18" s="15"/>
      <c r="S18" s="15">
        <v>33</v>
      </c>
      <c r="T18" s="16">
        <v>136</v>
      </c>
    </row>
    <row r="19" spans="1:20" s="1" customFormat="1" ht="21.95" customHeight="1" thickBot="1" x14ac:dyDescent="0.35">
      <c r="A19" s="26"/>
      <c r="B19" s="43" t="s">
        <v>58</v>
      </c>
      <c r="C19" s="28">
        <f>C18</f>
        <v>29</v>
      </c>
      <c r="D19" s="47" t="s">
        <v>120</v>
      </c>
      <c r="E19" s="48" t="s">
        <v>57</v>
      </c>
      <c r="F19" s="44">
        <v>36.6</v>
      </c>
      <c r="G19" s="49">
        <v>1.5</v>
      </c>
      <c r="H19" s="49">
        <v>18.899999999999999</v>
      </c>
      <c r="I19" s="49">
        <v>8.4</v>
      </c>
      <c r="J19" s="50">
        <v>209</v>
      </c>
      <c r="K19" s="26"/>
      <c r="L19" s="43" t="s">
        <v>58</v>
      </c>
      <c r="M19" s="28">
        <f>M18</f>
        <v>4</v>
      </c>
      <c r="N19" s="47" t="s">
        <v>120</v>
      </c>
      <c r="O19" s="48" t="s">
        <v>57</v>
      </c>
      <c r="P19" s="44">
        <v>36.6</v>
      </c>
      <c r="Q19" s="49">
        <v>1.5</v>
      </c>
      <c r="R19" s="49">
        <v>18.899999999999999</v>
      </c>
      <c r="S19" s="49">
        <v>8.4</v>
      </c>
      <c r="T19" s="50">
        <v>209</v>
      </c>
    </row>
    <row r="20" spans="1:20" s="38" customFormat="1" ht="21.95" customHeight="1" thickBot="1" x14ac:dyDescent="0.3">
      <c r="A20" s="207" t="s">
        <v>32</v>
      </c>
      <c r="B20" s="208"/>
      <c r="C20" s="209"/>
      <c r="D20" s="51"/>
      <c r="E20" s="52"/>
      <c r="F20" s="149">
        <f>SUM(F18:F19)</f>
        <v>89.6</v>
      </c>
      <c r="G20" s="53">
        <f>SUM(G18:G19)</f>
        <v>2.1</v>
      </c>
      <c r="H20" s="53">
        <f>SUM(H18:H19)</f>
        <v>18.899999999999999</v>
      </c>
      <c r="I20" s="53">
        <f>SUM(I18:I19)</f>
        <v>41.4</v>
      </c>
      <c r="J20" s="54">
        <f>SUM(J18:J19)</f>
        <v>345</v>
      </c>
      <c r="K20" s="207" t="s">
        <v>32</v>
      </c>
      <c r="L20" s="208"/>
      <c r="M20" s="209"/>
      <c r="N20" s="51"/>
      <c r="O20" s="52"/>
      <c r="P20" s="149">
        <f>SUM(P18:P19)</f>
        <v>98.6</v>
      </c>
      <c r="Q20" s="188">
        <f>SUM(Q18:Q19)</f>
        <v>2.1</v>
      </c>
      <c r="R20" s="188">
        <f>SUM(R18:R19)</f>
        <v>18.899999999999999</v>
      </c>
      <c r="S20" s="188">
        <f>SUM(S18:S19)</f>
        <v>41.4</v>
      </c>
      <c r="T20" s="189">
        <f>SUM(T18:T19)</f>
        <v>345</v>
      </c>
    </row>
    <row r="21" spans="1:20" s="55" customFormat="1" x14ac:dyDescent="0.25"/>
    <row r="22" spans="1:20" s="55" customFormat="1" ht="18.75" customHeight="1" x14ac:dyDescent="0.25">
      <c r="D22" s="56" t="s">
        <v>61</v>
      </c>
      <c r="E22" s="57"/>
      <c r="F22" s="58" t="s">
        <v>62</v>
      </c>
      <c r="G22" s="59"/>
      <c r="N22" s="56" t="s">
        <v>61</v>
      </c>
      <c r="O22" s="57"/>
      <c r="P22" s="58" t="s">
        <v>62</v>
      </c>
      <c r="Q22" s="59"/>
      <c r="R22" s="190"/>
    </row>
    <row r="23" spans="1:20" s="55" customFormat="1" ht="18.75" customHeight="1" x14ac:dyDescent="0.25">
      <c r="D23" s="56"/>
      <c r="E23" s="57"/>
      <c r="F23" s="58"/>
      <c r="G23" s="59"/>
      <c r="N23" s="56"/>
      <c r="O23" s="57"/>
      <c r="P23" s="58"/>
      <c r="Q23" s="59"/>
    </row>
    <row r="24" spans="1:20" s="55" customFormat="1" ht="18.75" x14ac:dyDescent="0.25">
      <c r="D24" s="60" t="s">
        <v>63</v>
      </c>
      <c r="E24" s="61"/>
      <c r="F24" s="197" t="s">
        <v>64</v>
      </c>
      <c r="G24" s="59"/>
      <c r="N24" s="60" t="s">
        <v>63</v>
      </c>
      <c r="O24" s="61"/>
      <c r="P24" s="197" t="s">
        <v>64</v>
      </c>
      <c r="Q24" s="59"/>
    </row>
  </sheetData>
  <mergeCells count="8">
    <mergeCell ref="A17:C17"/>
    <mergeCell ref="K17:M17"/>
    <mergeCell ref="A20:C20"/>
    <mergeCell ref="K20:M20"/>
    <mergeCell ref="B1:F1"/>
    <mergeCell ref="L1:P1"/>
    <mergeCell ref="A9:C9"/>
    <mergeCell ref="K9:M9"/>
  </mergeCells>
  <pageMargins left="0.7" right="0.7" top="0.75" bottom="0.75" header="0.3" footer="0.3"/>
  <pageSetup paperSize="9" scale="85" orientation="landscape" r:id="rId1"/>
  <colBreaks count="1" manualBreakCount="1">
    <brk id="10" max="1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BreakPreview" zoomScale="60" zoomScaleNormal="60" workbookViewId="0">
      <selection activeCell="A25" sqref="A25:XFD114"/>
    </sheetView>
  </sheetViews>
  <sheetFormatPr defaultRowHeight="15" x14ac:dyDescent="0.25"/>
  <cols>
    <col min="1" max="1" width="11.5703125" customWidth="1"/>
    <col min="2" max="2" width="12" customWidth="1"/>
    <col min="3" max="3" width="6.5703125" customWidth="1"/>
    <col min="4" max="4" width="40.5703125" customWidth="1"/>
    <col min="5" max="5" width="9.140625" customWidth="1"/>
    <col min="6" max="6" width="10.140625" customWidth="1"/>
    <col min="7" max="7" width="12.28515625" customWidth="1"/>
    <col min="8" max="8" width="10.85546875" customWidth="1"/>
    <col min="9" max="9" width="9.7109375" customWidth="1"/>
    <col min="10" max="10" width="14.7109375" customWidth="1"/>
    <col min="11" max="11" width="11.5703125" customWidth="1"/>
    <col min="12" max="12" width="12" customWidth="1"/>
    <col min="13" max="13" width="6.5703125" customWidth="1"/>
    <col min="14" max="14" width="36.7109375" customWidth="1"/>
    <col min="16" max="16" width="10.42578125" bestFit="1" customWidth="1"/>
    <col min="17" max="17" width="12.28515625" customWidth="1"/>
    <col min="18" max="18" width="10.42578125" customWidth="1"/>
    <col min="19" max="19" width="9.7109375" customWidth="1"/>
    <col min="20" max="20" width="15.7109375" customWidth="1"/>
  </cols>
  <sheetData>
    <row r="1" spans="1:20" s="1" customFormat="1" ht="21.95" customHeight="1" x14ac:dyDescent="0.3">
      <c r="A1" s="1" t="s">
        <v>0</v>
      </c>
      <c r="B1" s="210" t="s">
        <v>5</v>
      </c>
      <c r="C1" s="211"/>
      <c r="D1" s="211"/>
      <c r="E1" s="211"/>
      <c r="F1" s="212"/>
      <c r="G1" s="1" t="s">
        <v>1</v>
      </c>
      <c r="H1" s="2" t="s">
        <v>2</v>
      </c>
      <c r="I1" s="1" t="s">
        <v>3</v>
      </c>
      <c r="J1" s="3">
        <v>44356</v>
      </c>
      <c r="K1" s="1" t="s">
        <v>0</v>
      </c>
      <c r="L1" s="210" t="s">
        <v>5</v>
      </c>
      <c r="M1" s="211"/>
      <c r="N1" s="211"/>
      <c r="O1" s="211"/>
      <c r="P1" s="212"/>
      <c r="Q1" s="1" t="s">
        <v>1</v>
      </c>
      <c r="R1" s="2" t="s">
        <v>4</v>
      </c>
      <c r="S1" s="1" t="s">
        <v>3</v>
      </c>
      <c r="T1" s="3">
        <f>J1</f>
        <v>44356</v>
      </c>
    </row>
    <row r="2" spans="1:20" s="1" customFormat="1" ht="21.95" customHeight="1" thickBot="1" x14ac:dyDescent="0.35"/>
    <row r="3" spans="1:20" s="7" customFormat="1" ht="21.95" customHeight="1" thickBot="1" x14ac:dyDescent="0.3">
      <c r="A3" s="132" t="s">
        <v>6</v>
      </c>
      <c r="B3" s="133" t="s">
        <v>7</v>
      </c>
      <c r="C3" s="133" t="s">
        <v>8</v>
      </c>
      <c r="D3" s="133" t="s">
        <v>9</v>
      </c>
      <c r="E3" s="133" t="s">
        <v>10</v>
      </c>
      <c r="F3" s="133" t="s">
        <v>11</v>
      </c>
      <c r="G3" s="133" t="s">
        <v>12</v>
      </c>
      <c r="H3" s="133" t="s">
        <v>13</v>
      </c>
      <c r="I3" s="133" t="s">
        <v>14</v>
      </c>
      <c r="J3" s="134" t="s">
        <v>15</v>
      </c>
      <c r="K3" s="132" t="s">
        <v>6</v>
      </c>
      <c r="L3" s="133" t="s">
        <v>7</v>
      </c>
      <c r="M3" s="133" t="s">
        <v>8</v>
      </c>
      <c r="N3" s="133" t="s">
        <v>9</v>
      </c>
      <c r="O3" s="133" t="s">
        <v>10</v>
      </c>
      <c r="P3" s="133" t="s">
        <v>11</v>
      </c>
      <c r="Q3" s="133" t="s">
        <v>12</v>
      </c>
      <c r="R3" s="133" t="s">
        <v>13</v>
      </c>
      <c r="S3" s="133" t="s">
        <v>14</v>
      </c>
      <c r="T3" s="134" t="s">
        <v>15</v>
      </c>
    </row>
    <row r="4" spans="1:20" s="7" customFormat="1" ht="42.75" customHeight="1" x14ac:dyDescent="0.25">
      <c r="A4" s="135" t="s">
        <v>16</v>
      </c>
      <c r="B4" s="136" t="s">
        <v>17</v>
      </c>
      <c r="C4" s="137">
        <v>32</v>
      </c>
      <c r="D4" s="12" t="s">
        <v>121</v>
      </c>
      <c r="E4" s="13" t="s">
        <v>19</v>
      </c>
      <c r="F4" s="14">
        <f>75-7.93</f>
        <v>67.069999999999993</v>
      </c>
      <c r="G4" s="192">
        <v>8.14</v>
      </c>
      <c r="H4" s="192">
        <v>9.68</v>
      </c>
      <c r="I4" s="15">
        <v>38.39</v>
      </c>
      <c r="J4" s="16">
        <v>273</v>
      </c>
      <c r="K4" s="135" t="s">
        <v>16</v>
      </c>
      <c r="L4" s="136" t="s">
        <v>17</v>
      </c>
      <c r="M4" s="137">
        <v>74</v>
      </c>
      <c r="N4" s="12" t="s">
        <v>122</v>
      </c>
      <c r="O4" s="13" t="s">
        <v>21</v>
      </c>
      <c r="P4" s="14">
        <f>75/20*22+6.7</f>
        <v>89.2</v>
      </c>
      <c r="Q4" s="15">
        <f>8.14/20*22</f>
        <v>8.9540000000000006</v>
      </c>
      <c r="R4" s="15">
        <f>9.68/20*22</f>
        <v>10.648</v>
      </c>
      <c r="S4" s="15">
        <f>38.39/20*22</f>
        <v>42.228999999999999</v>
      </c>
      <c r="T4" s="16">
        <f>273/20*22</f>
        <v>300.3</v>
      </c>
    </row>
    <row r="5" spans="1:20" s="1" customFormat="1" ht="21.95" customHeight="1" x14ac:dyDescent="0.3">
      <c r="A5" s="8"/>
      <c r="B5" s="2" t="s">
        <v>22</v>
      </c>
      <c r="C5" s="17">
        <f>C4</f>
        <v>32</v>
      </c>
      <c r="D5" s="18" t="s">
        <v>23</v>
      </c>
      <c r="E5" s="19" t="s">
        <v>19</v>
      </c>
      <c r="F5" s="20">
        <v>8</v>
      </c>
      <c r="G5" s="23">
        <v>0.06</v>
      </c>
      <c r="H5" s="23">
        <v>0.02</v>
      </c>
      <c r="I5" s="21">
        <v>9.99</v>
      </c>
      <c r="J5" s="22">
        <v>40</v>
      </c>
      <c r="K5" s="8"/>
      <c r="L5" s="2" t="s">
        <v>22</v>
      </c>
      <c r="M5" s="17">
        <f>M4</f>
        <v>74</v>
      </c>
      <c r="N5" s="18" t="s">
        <v>23</v>
      </c>
      <c r="O5" s="19" t="s">
        <v>19</v>
      </c>
      <c r="P5" s="20">
        <v>8</v>
      </c>
      <c r="Q5" s="23">
        <v>0.06</v>
      </c>
      <c r="R5" s="23">
        <v>0.02</v>
      </c>
      <c r="S5" s="21">
        <v>9.99</v>
      </c>
      <c r="T5" s="22">
        <v>40</v>
      </c>
    </row>
    <row r="6" spans="1:20" s="1" customFormat="1" ht="21.95" customHeight="1" x14ac:dyDescent="0.3">
      <c r="A6" s="8"/>
      <c r="B6" s="2" t="s">
        <v>24</v>
      </c>
      <c r="C6" s="17">
        <f t="shared" ref="C6" si="0">C5</f>
        <v>32</v>
      </c>
      <c r="D6" s="18" t="s">
        <v>25</v>
      </c>
      <c r="E6" s="19" t="s">
        <v>26</v>
      </c>
      <c r="F6" s="20">
        <v>9.1999999999999993</v>
      </c>
      <c r="G6" s="23">
        <v>2.29</v>
      </c>
      <c r="H6" s="23">
        <v>0.9</v>
      </c>
      <c r="I6" s="23">
        <v>15</v>
      </c>
      <c r="J6" s="24">
        <v>77.7</v>
      </c>
      <c r="K6" s="8"/>
      <c r="L6" s="2" t="s">
        <v>24</v>
      </c>
      <c r="M6" s="17">
        <f t="shared" ref="M6" si="1">M5</f>
        <v>74</v>
      </c>
      <c r="N6" s="18" t="s">
        <v>25</v>
      </c>
      <c r="O6" s="19" t="s">
        <v>26</v>
      </c>
      <c r="P6" s="20">
        <v>9.1999999999999993</v>
      </c>
      <c r="Q6" s="23">
        <v>2.29</v>
      </c>
      <c r="R6" s="23">
        <v>0.9</v>
      </c>
      <c r="S6" s="23">
        <v>15</v>
      </c>
      <c r="T6" s="24">
        <v>77.7</v>
      </c>
    </row>
    <row r="7" spans="1:20" s="1" customFormat="1" ht="21.95" customHeight="1" x14ac:dyDescent="0.3">
      <c r="A7" s="8"/>
      <c r="B7" s="25" t="s">
        <v>27</v>
      </c>
      <c r="C7" s="17">
        <f>C6</f>
        <v>32</v>
      </c>
      <c r="D7" s="18" t="s">
        <v>28</v>
      </c>
      <c r="E7" s="19" t="s">
        <v>29</v>
      </c>
      <c r="F7" s="20">
        <v>10</v>
      </c>
      <c r="G7" s="23">
        <v>0.2</v>
      </c>
      <c r="H7" s="23">
        <v>0.4</v>
      </c>
      <c r="I7" s="23">
        <v>9.5</v>
      </c>
      <c r="J7" s="24">
        <v>44</v>
      </c>
      <c r="K7" s="8"/>
      <c r="L7" s="25" t="s">
        <v>27</v>
      </c>
      <c r="M7" s="17">
        <f>M6</f>
        <v>74</v>
      </c>
      <c r="N7" s="18" t="s">
        <v>28</v>
      </c>
      <c r="O7" s="19" t="s">
        <v>29</v>
      </c>
      <c r="P7" s="20">
        <v>10</v>
      </c>
      <c r="Q7" s="23">
        <v>0.2</v>
      </c>
      <c r="R7" s="23">
        <v>0.4</v>
      </c>
      <c r="S7" s="23">
        <v>9.5</v>
      </c>
      <c r="T7" s="24">
        <v>44</v>
      </c>
    </row>
    <row r="8" spans="1:20" s="1" customFormat="1" ht="21.95" customHeight="1" thickBot="1" x14ac:dyDescent="0.35">
      <c r="A8" s="26"/>
      <c r="B8" s="27" t="s">
        <v>30</v>
      </c>
      <c r="C8" s="28">
        <f>C7</f>
        <v>32</v>
      </c>
      <c r="D8" s="29" t="s">
        <v>31</v>
      </c>
      <c r="E8" s="30" t="s">
        <v>29</v>
      </c>
      <c r="F8" s="31">
        <v>13</v>
      </c>
      <c r="G8" s="32">
        <v>2.63</v>
      </c>
      <c r="H8" s="32">
        <v>2.66</v>
      </c>
      <c r="I8" s="32">
        <v>0</v>
      </c>
      <c r="J8" s="33">
        <v>3.5</v>
      </c>
      <c r="K8" s="26"/>
      <c r="L8" s="27" t="s">
        <v>30</v>
      </c>
      <c r="M8" s="28">
        <f>M7</f>
        <v>74</v>
      </c>
      <c r="N8" s="29" t="s">
        <v>31</v>
      </c>
      <c r="O8" s="30" t="s">
        <v>29</v>
      </c>
      <c r="P8" s="31">
        <v>13</v>
      </c>
      <c r="Q8" s="32">
        <v>2.63</v>
      </c>
      <c r="R8" s="32">
        <v>2.66</v>
      </c>
      <c r="S8" s="32">
        <v>0</v>
      </c>
      <c r="T8" s="33">
        <v>3.5</v>
      </c>
    </row>
    <row r="9" spans="1:20" s="38" customFormat="1" ht="21.95" customHeight="1" thickBot="1" x14ac:dyDescent="0.3">
      <c r="A9" s="216" t="s">
        <v>32</v>
      </c>
      <c r="B9" s="217"/>
      <c r="C9" s="218"/>
      <c r="D9" s="139"/>
      <c r="E9" s="140"/>
      <c r="F9" s="141">
        <f>SUM(F4:F8)</f>
        <v>107.27</v>
      </c>
      <c r="G9" s="142">
        <f>SUM(G4:G8)</f>
        <v>13.32</v>
      </c>
      <c r="H9" s="142">
        <f t="shared" ref="H9:J9" si="2">SUM(H4:H8)</f>
        <v>13.66</v>
      </c>
      <c r="I9" s="142">
        <f t="shared" si="2"/>
        <v>72.88</v>
      </c>
      <c r="J9" s="143">
        <f t="shared" si="2"/>
        <v>438.2</v>
      </c>
      <c r="K9" s="216" t="s">
        <v>32</v>
      </c>
      <c r="L9" s="217"/>
      <c r="M9" s="218"/>
      <c r="N9" s="139"/>
      <c r="O9" s="140"/>
      <c r="P9" s="141">
        <f>SUM(P4:P8)</f>
        <v>129.4</v>
      </c>
      <c r="Q9" s="142">
        <f>SUM(Q4:Q8)</f>
        <v>14.134</v>
      </c>
      <c r="R9" s="142">
        <f t="shared" ref="R9:T9" si="3">SUM(R4:R8)</f>
        <v>14.628</v>
      </c>
      <c r="S9" s="142">
        <f t="shared" si="3"/>
        <v>76.718999999999994</v>
      </c>
      <c r="T9" s="143">
        <f t="shared" si="3"/>
        <v>465.5</v>
      </c>
    </row>
    <row r="10" spans="1:20" s="7" customFormat="1" ht="44.25" customHeight="1" x14ac:dyDescent="0.25">
      <c r="A10" s="158" t="s">
        <v>33</v>
      </c>
      <c r="B10" s="136" t="s">
        <v>34</v>
      </c>
      <c r="C10" s="159">
        <v>32</v>
      </c>
      <c r="D10" s="12" t="s">
        <v>86</v>
      </c>
      <c r="E10" s="13" t="s">
        <v>60</v>
      </c>
      <c r="F10" s="14">
        <v>20</v>
      </c>
      <c r="G10" s="15">
        <v>5.45</v>
      </c>
      <c r="H10" s="15">
        <v>3.3</v>
      </c>
      <c r="I10" s="15">
        <v>1.4</v>
      </c>
      <c r="J10" s="16">
        <v>58.49</v>
      </c>
      <c r="K10" s="193" t="s">
        <v>33</v>
      </c>
      <c r="L10" s="136" t="s">
        <v>34</v>
      </c>
      <c r="M10" s="159">
        <v>79</v>
      </c>
      <c r="N10" s="12" t="s">
        <v>86</v>
      </c>
      <c r="O10" s="13" t="s">
        <v>60</v>
      </c>
      <c r="P10" s="14">
        <v>20</v>
      </c>
      <c r="Q10" s="15">
        <v>5.45</v>
      </c>
      <c r="R10" s="15">
        <v>3.3</v>
      </c>
      <c r="S10" s="15">
        <v>1.4</v>
      </c>
      <c r="T10" s="16">
        <v>58.49</v>
      </c>
    </row>
    <row r="11" spans="1:20" s="7" customFormat="1" ht="44.25" customHeight="1" x14ac:dyDescent="0.25">
      <c r="A11" s="161"/>
      <c r="B11" s="162" t="s">
        <v>37</v>
      </c>
      <c r="C11" s="40">
        <f t="shared" ref="C11:C16" si="4">C10</f>
        <v>32</v>
      </c>
      <c r="D11" s="18" t="s">
        <v>123</v>
      </c>
      <c r="E11" s="19" t="s">
        <v>39</v>
      </c>
      <c r="F11" s="20">
        <v>65</v>
      </c>
      <c r="G11" s="23">
        <v>3.5</v>
      </c>
      <c r="H11" s="23">
        <v>4.5</v>
      </c>
      <c r="I11" s="23">
        <v>14.75</v>
      </c>
      <c r="J11" s="24">
        <v>112.5</v>
      </c>
      <c r="K11" s="194"/>
      <c r="L11" s="162" t="s">
        <v>37</v>
      </c>
      <c r="M11" s="40">
        <f t="shared" ref="M11:M16" si="5">M10</f>
        <v>79</v>
      </c>
      <c r="N11" s="18" t="s">
        <v>123</v>
      </c>
      <c r="O11" s="19" t="s">
        <v>40</v>
      </c>
      <c r="P11" s="20">
        <f>74.6-0.74</f>
        <v>73.86</v>
      </c>
      <c r="Q11" s="23">
        <v>3.5</v>
      </c>
      <c r="R11" s="23">
        <v>4.5</v>
      </c>
      <c r="S11" s="23">
        <v>14.75</v>
      </c>
      <c r="T11" s="24">
        <v>112.5</v>
      </c>
    </row>
    <row r="12" spans="1:20" s="1" customFormat="1" ht="21.95" customHeight="1" x14ac:dyDescent="0.3">
      <c r="A12" s="165"/>
      <c r="B12" s="2" t="s">
        <v>41</v>
      </c>
      <c r="C12" s="166">
        <f t="shared" si="4"/>
        <v>32</v>
      </c>
      <c r="D12" s="18" t="s">
        <v>124</v>
      </c>
      <c r="E12" s="19" t="s">
        <v>43</v>
      </c>
      <c r="F12" s="20">
        <f>72.1-2.5-7.73</f>
        <v>61.86999999999999</v>
      </c>
      <c r="G12" s="23">
        <v>9.3000000000000007</v>
      </c>
      <c r="H12" s="23">
        <v>10.6</v>
      </c>
      <c r="I12" s="23">
        <v>12.4</v>
      </c>
      <c r="J12" s="24">
        <v>184.1</v>
      </c>
      <c r="K12" s="195"/>
      <c r="L12" s="2" t="s">
        <v>41</v>
      </c>
      <c r="M12" s="166">
        <f t="shared" si="5"/>
        <v>79</v>
      </c>
      <c r="N12" s="18" t="s">
        <v>124</v>
      </c>
      <c r="O12" s="19" t="s">
        <v>43</v>
      </c>
      <c r="P12" s="20">
        <f>72.1-2.5-7.73</f>
        <v>61.86999999999999</v>
      </c>
      <c r="Q12" s="23">
        <v>9.3000000000000007</v>
      </c>
      <c r="R12" s="23">
        <v>10.6</v>
      </c>
      <c r="S12" s="23">
        <v>12.4</v>
      </c>
      <c r="T12" s="24">
        <v>184.1</v>
      </c>
    </row>
    <row r="13" spans="1:20" s="1" customFormat="1" ht="21.95" customHeight="1" x14ac:dyDescent="0.3">
      <c r="A13" s="165"/>
      <c r="B13" s="2" t="s">
        <v>44</v>
      </c>
      <c r="C13" s="17">
        <f t="shared" si="4"/>
        <v>32</v>
      </c>
      <c r="D13" s="18" t="s">
        <v>125</v>
      </c>
      <c r="E13" s="19" t="s">
        <v>46</v>
      </c>
      <c r="F13" s="20">
        <v>15</v>
      </c>
      <c r="G13" s="23">
        <v>5.4</v>
      </c>
      <c r="H13" s="23">
        <v>6.54</v>
      </c>
      <c r="I13" s="23">
        <v>64.3</v>
      </c>
      <c r="J13" s="24">
        <v>216.27</v>
      </c>
      <c r="K13" s="195"/>
      <c r="L13" s="2" t="s">
        <v>44</v>
      </c>
      <c r="M13" s="17">
        <f t="shared" si="5"/>
        <v>79</v>
      </c>
      <c r="N13" s="18" t="s">
        <v>125</v>
      </c>
      <c r="O13" s="19" t="s">
        <v>47</v>
      </c>
      <c r="P13" s="20">
        <v>18</v>
      </c>
      <c r="Q13" s="23">
        <f>5.4/15*18</f>
        <v>6.48</v>
      </c>
      <c r="R13" s="23">
        <f>6.54/15*18</f>
        <v>7.8479999999999999</v>
      </c>
      <c r="S13" s="23">
        <f>64.3/15*18</f>
        <v>77.16</v>
      </c>
      <c r="T13" s="24">
        <f>216.27/15*18</f>
        <v>259.524</v>
      </c>
    </row>
    <row r="14" spans="1:20" s="1" customFormat="1" ht="21.95" customHeight="1" x14ac:dyDescent="0.3">
      <c r="A14" s="165"/>
      <c r="B14" s="2" t="s">
        <v>22</v>
      </c>
      <c r="C14" s="166">
        <f t="shared" si="4"/>
        <v>32</v>
      </c>
      <c r="D14" s="42" t="s">
        <v>48</v>
      </c>
      <c r="E14" s="19" t="s">
        <v>19</v>
      </c>
      <c r="F14" s="20">
        <v>24</v>
      </c>
      <c r="G14" s="23">
        <v>0.55000000000000004</v>
      </c>
      <c r="H14" s="23">
        <v>0.08</v>
      </c>
      <c r="I14" s="23">
        <v>20.3</v>
      </c>
      <c r="J14" s="24">
        <v>85.23</v>
      </c>
      <c r="K14" s="195"/>
      <c r="L14" s="2" t="s">
        <v>22</v>
      </c>
      <c r="M14" s="166">
        <f t="shared" si="5"/>
        <v>79</v>
      </c>
      <c r="N14" s="42" t="s">
        <v>48</v>
      </c>
      <c r="O14" s="19" t="s">
        <v>19</v>
      </c>
      <c r="P14" s="20">
        <v>24</v>
      </c>
      <c r="Q14" s="23">
        <v>0.55000000000000004</v>
      </c>
      <c r="R14" s="23">
        <v>0.08</v>
      </c>
      <c r="S14" s="23">
        <v>20.3</v>
      </c>
      <c r="T14" s="24">
        <v>85.23</v>
      </c>
    </row>
    <row r="15" spans="1:20" s="1" customFormat="1" ht="21.95" customHeight="1" x14ac:dyDescent="0.3">
      <c r="A15" s="165"/>
      <c r="B15" s="2" t="s">
        <v>49</v>
      </c>
      <c r="C15" s="166">
        <f t="shared" si="4"/>
        <v>32</v>
      </c>
      <c r="D15" s="18" t="s">
        <v>50</v>
      </c>
      <c r="E15" s="19" t="s">
        <v>51</v>
      </c>
      <c r="F15" s="20">
        <v>6</v>
      </c>
      <c r="G15" s="21">
        <f>4/2</f>
        <v>2</v>
      </c>
      <c r="H15" s="21">
        <f>0.75/2</f>
        <v>0.375</v>
      </c>
      <c r="I15" s="21">
        <f>20.05/2</f>
        <v>10.025</v>
      </c>
      <c r="J15" s="22">
        <f>104/2</f>
        <v>52</v>
      </c>
      <c r="K15" s="195"/>
      <c r="L15" s="2" t="s">
        <v>49</v>
      </c>
      <c r="M15" s="166">
        <f t="shared" si="5"/>
        <v>79</v>
      </c>
      <c r="N15" s="18" t="s">
        <v>50</v>
      </c>
      <c r="O15" s="19" t="s">
        <v>51</v>
      </c>
      <c r="P15" s="20">
        <v>6</v>
      </c>
      <c r="Q15" s="21">
        <f>4/2</f>
        <v>2</v>
      </c>
      <c r="R15" s="21">
        <f>0.75/2</f>
        <v>0.375</v>
      </c>
      <c r="S15" s="21">
        <f>20.05/2</f>
        <v>10.025</v>
      </c>
      <c r="T15" s="22">
        <f>104/2</f>
        <v>52</v>
      </c>
    </row>
    <row r="16" spans="1:20" s="1" customFormat="1" ht="21.95" customHeight="1" thickBot="1" x14ac:dyDescent="0.35">
      <c r="A16" s="168"/>
      <c r="B16" s="43" t="s">
        <v>52</v>
      </c>
      <c r="C16" s="169">
        <f t="shared" si="4"/>
        <v>32</v>
      </c>
      <c r="D16" s="29" t="s">
        <v>53</v>
      </c>
      <c r="E16" s="30" t="s">
        <v>51</v>
      </c>
      <c r="F16" s="44">
        <v>6</v>
      </c>
      <c r="G16" s="32">
        <f>2.72/2</f>
        <v>1.36</v>
      </c>
      <c r="H16" s="32">
        <f>0.52/2</f>
        <v>0.26</v>
      </c>
      <c r="I16" s="32">
        <f>15.92/2</f>
        <v>7.96</v>
      </c>
      <c r="J16" s="33">
        <f>80.4/2</f>
        <v>40.200000000000003</v>
      </c>
      <c r="K16" s="196"/>
      <c r="L16" s="43" t="s">
        <v>52</v>
      </c>
      <c r="M16" s="169">
        <f t="shared" si="5"/>
        <v>79</v>
      </c>
      <c r="N16" s="29" t="s">
        <v>53</v>
      </c>
      <c r="O16" s="30" t="s">
        <v>51</v>
      </c>
      <c r="P16" s="44">
        <v>6</v>
      </c>
      <c r="Q16" s="32">
        <f>2.72/2</f>
        <v>1.36</v>
      </c>
      <c r="R16" s="32">
        <f>0.52/2</f>
        <v>0.26</v>
      </c>
      <c r="S16" s="32">
        <f>15.92/2</f>
        <v>7.96</v>
      </c>
      <c r="T16" s="33">
        <f>80.4/2</f>
        <v>40.200000000000003</v>
      </c>
    </row>
    <row r="17" spans="1:20" s="38" customFormat="1" ht="21.95" customHeight="1" thickBot="1" x14ac:dyDescent="0.3">
      <c r="A17" s="213" t="s">
        <v>32</v>
      </c>
      <c r="B17" s="214"/>
      <c r="C17" s="215"/>
      <c r="D17" s="144"/>
      <c r="E17" s="145"/>
      <c r="F17" s="146">
        <f>SUM(F10:F16)</f>
        <v>197.87</v>
      </c>
      <c r="G17" s="147">
        <f>SUM(G10:G16)</f>
        <v>27.56</v>
      </c>
      <c r="H17" s="147">
        <f t="shared" ref="H17:J17" si="6">SUM(H10:H16)</f>
        <v>25.654999999999998</v>
      </c>
      <c r="I17" s="147">
        <f t="shared" si="6"/>
        <v>131.13499999999999</v>
      </c>
      <c r="J17" s="148">
        <f t="shared" si="6"/>
        <v>748.79000000000008</v>
      </c>
      <c r="K17" s="213" t="s">
        <v>32</v>
      </c>
      <c r="L17" s="214"/>
      <c r="M17" s="215"/>
      <c r="N17" s="144"/>
      <c r="O17" s="145"/>
      <c r="P17" s="146">
        <f>SUM(P10:P16)</f>
        <v>209.73</v>
      </c>
      <c r="Q17" s="147">
        <f t="shared" ref="Q17:T17" si="7">SUM(Q10:Q16)</f>
        <v>28.64</v>
      </c>
      <c r="R17" s="147">
        <f t="shared" si="7"/>
        <v>26.962999999999997</v>
      </c>
      <c r="S17" s="147">
        <f t="shared" si="7"/>
        <v>143.995</v>
      </c>
      <c r="T17" s="148">
        <f t="shared" si="7"/>
        <v>792.0440000000001</v>
      </c>
    </row>
    <row r="18" spans="1:20" s="1" customFormat="1" ht="21.95" customHeight="1" x14ac:dyDescent="0.3">
      <c r="A18" s="9" t="s">
        <v>54</v>
      </c>
      <c r="B18" s="187" t="s">
        <v>22</v>
      </c>
      <c r="C18" s="11">
        <v>30</v>
      </c>
      <c r="D18" s="45" t="s">
        <v>55</v>
      </c>
      <c r="E18" s="46" t="s">
        <v>19</v>
      </c>
      <c r="F18" s="14">
        <v>53</v>
      </c>
      <c r="G18" s="15">
        <v>0.6</v>
      </c>
      <c r="H18" s="15"/>
      <c r="I18" s="15">
        <v>33</v>
      </c>
      <c r="J18" s="16">
        <v>136</v>
      </c>
      <c r="K18" s="9" t="s">
        <v>54</v>
      </c>
      <c r="L18" s="187" t="s">
        <v>22</v>
      </c>
      <c r="M18" s="11">
        <v>5</v>
      </c>
      <c r="N18" s="45" t="s">
        <v>56</v>
      </c>
      <c r="O18" s="46" t="s">
        <v>57</v>
      </c>
      <c r="P18" s="14">
        <v>62</v>
      </c>
      <c r="Q18" s="15">
        <v>0.6</v>
      </c>
      <c r="R18" s="15"/>
      <c r="S18" s="15">
        <v>33</v>
      </c>
      <c r="T18" s="16">
        <v>136</v>
      </c>
    </row>
    <row r="19" spans="1:20" s="1" customFormat="1" ht="21.95" customHeight="1" thickBot="1" x14ac:dyDescent="0.35">
      <c r="A19" s="26"/>
      <c r="B19" s="43" t="s">
        <v>58</v>
      </c>
      <c r="C19" s="28">
        <f>C18</f>
        <v>30</v>
      </c>
      <c r="D19" s="47" t="s">
        <v>126</v>
      </c>
      <c r="E19" s="48" t="s">
        <v>57</v>
      </c>
      <c r="F19" s="44">
        <v>36.6</v>
      </c>
      <c r="G19" s="49">
        <v>10.6</v>
      </c>
      <c r="H19" s="49">
        <v>12.3</v>
      </c>
      <c r="I19" s="49">
        <v>40.1</v>
      </c>
      <c r="J19" s="50">
        <v>318</v>
      </c>
      <c r="K19" s="26"/>
      <c r="L19" s="43" t="s">
        <v>58</v>
      </c>
      <c r="M19" s="28">
        <f>M18</f>
        <v>5</v>
      </c>
      <c r="N19" s="47" t="s">
        <v>126</v>
      </c>
      <c r="O19" s="48" t="s">
        <v>57</v>
      </c>
      <c r="P19" s="44">
        <v>36.6</v>
      </c>
      <c r="Q19" s="49">
        <v>10.6</v>
      </c>
      <c r="R19" s="49">
        <v>12.3</v>
      </c>
      <c r="S19" s="49">
        <v>40.1</v>
      </c>
      <c r="T19" s="50">
        <v>318</v>
      </c>
    </row>
    <row r="20" spans="1:20" s="38" customFormat="1" ht="21.95" customHeight="1" thickBot="1" x14ac:dyDescent="0.3">
      <c r="A20" s="207" t="s">
        <v>32</v>
      </c>
      <c r="B20" s="208"/>
      <c r="C20" s="209"/>
      <c r="D20" s="51"/>
      <c r="E20" s="52"/>
      <c r="F20" s="149">
        <f>SUM(F18:F19)</f>
        <v>89.6</v>
      </c>
      <c r="G20" s="53">
        <f>SUM(G18:G19)</f>
        <v>11.2</v>
      </c>
      <c r="H20" s="53">
        <f>SUM(H18:H19)</f>
        <v>12.3</v>
      </c>
      <c r="I20" s="53">
        <f>SUM(I18:I19)</f>
        <v>73.099999999999994</v>
      </c>
      <c r="J20" s="54">
        <f>SUM(J18:J19)</f>
        <v>454</v>
      </c>
      <c r="K20" s="207" t="s">
        <v>32</v>
      </c>
      <c r="L20" s="208"/>
      <c r="M20" s="209"/>
      <c r="N20" s="51"/>
      <c r="O20" s="52"/>
      <c r="P20" s="149">
        <f>SUM(P18:P19)</f>
        <v>98.6</v>
      </c>
      <c r="Q20" s="188">
        <f>SUM(Q18:Q19)</f>
        <v>11.2</v>
      </c>
      <c r="R20" s="188">
        <f>SUM(R18:R19)</f>
        <v>12.3</v>
      </c>
      <c r="S20" s="188">
        <f>SUM(S18:S19)</f>
        <v>73.099999999999994</v>
      </c>
      <c r="T20" s="189">
        <f>SUM(T18:T19)</f>
        <v>454</v>
      </c>
    </row>
    <row r="21" spans="1:20" s="55" customFormat="1" x14ac:dyDescent="0.25"/>
    <row r="22" spans="1:20" s="55" customFormat="1" ht="18.75" customHeight="1" x14ac:dyDescent="0.25">
      <c r="D22" s="56" t="s">
        <v>61</v>
      </c>
      <c r="E22" s="57"/>
      <c r="F22" s="58" t="s">
        <v>62</v>
      </c>
      <c r="G22" s="59"/>
      <c r="N22" s="56" t="s">
        <v>61</v>
      </c>
      <c r="O22" s="57"/>
      <c r="P22" s="58" t="s">
        <v>62</v>
      </c>
      <c r="Q22" s="59"/>
      <c r="R22" s="190"/>
    </row>
    <row r="23" spans="1:20" s="55" customFormat="1" ht="18.75" customHeight="1" x14ac:dyDescent="0.25">
      <c r="D23" s="56"/>
      <c r="E23" s="57"/>
      <c r="F23" s="58"/>
      <c r="G23" s="59"/>
      <c r="N23" s="56"/>
      <c r="O23" s="57"/>
      <c r="P23" s="58"/>
      <c r="Q23" s="59"/>
    </row>
    <row r="24" spans="1:20" s="55" customFormat="1" ht="18.75" x14ac:dyDescent="0.25">
      <c r="D24" s="60" t="s">
        <v>63</v>
      </c>
      <c r="E24" s="61"/>
      <c r="F24" s="198" t="s">
        <v>64</v>
      </c>
      <c r="G24" s="59"/>
      <c r="N24" s="60" t="s">
        <v>63</v>
      </c>
      <c r="O24" s="61"/>
      <c r="P24" s="198" t="s">
        <v>64</v>
      </c>
      <c r="Q24" s="59"/>
    </row>
  </sheetData>
  <mergeCells count="8">
    <mergeCell ref="A17:C17"/>
    <mergeCell ref="K17:M17"/>
    <mergeCell ref="A20:C20"/>
    <mergeCell ref="K20:M20"/>
    <mergeCell ref="B1:F1"/>
    <mergeCell ref="L1:P1"/>
    <mergeCell ref="A9:C9"/>
    <mergeCell ref="K9:M9"/>
  </mergeCells>
  <pageMargins left="0.7" right="0.7" top="0.75" bottom="0.75" header="0.3" footer="0.3"/>
  <pageSetup paperSize="9" scale="85" orientation="landscape" r:id="rId1"/>
  <colBreaks count="1" manualBreakCount="1">
    <brk id="10" max="1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view="pageBreakPreview" zoomScale="60" zoomScaleNormal="60" workbookViewId="0">
      <selection activeCell="T1" sqref="T1"/>
    </sheetView>
  </sheetViews>
  <sheetFormatPr defaultRowHeight="15" x14ac:dyDescent="0.25"/>
  <cols>
    <col min="1" max="1" width="11.5703125" customWidth="1"/>
    <col min="2" max="2" width="12" customWidth="1"/>
    <col min="3" max="3" width="6.5703125" customWidth="1"/>
    <col min="4" max="4" width="40.5703125" customWidth="1"/>
    <col min="5" max="5" width="9.140625" customWidth="1"/>
    <col min="6" max="6" width="10.140625" customWidth="1"/>
    <col min="7" max="7" width="12.28515625" customWidth="1"/>
    <col min="8" max="8" width="10.85546875" customWidth="1"/>
    <col min="9" max="9" width="9.7109375" customWidth="1"/>
    <col min="10" max="10" width="14.7109375" customWidth="1"/>
    <col min="11" max="11" width="11.5703125" customWidth="1"/>
    <col min="12" max="12" width="12" customWidth="1"/>
    <col min="13" max="13" width="6.5703125" customWidth="1"/>
    <col min="14" max="14" width="36.7109375" customWidth="1"/>
    <col min="16" max="16" width="10.42578125" bestFit="1" customWidth="1"/>
    <col min="17" max="17" width="12.28515625" customWidth="1"/>
    <col min="18" max="18" width="10.42578125" customWidth="1"/>
    <col min="19" max="19" width="9.7109375" customWidth="1"/>
    <col min="20" max="20" width="15.7109375" customWidth="1"/>
  </cols>
  <sheetData>
    <row r="1" spans="1:20" s="1" customFormat="1" ht="21.95" customHeight="1" x14ac:dyDescent="0.3">
      <c r="A1" s="1" t="s">
        <v>0</v>
      </c>
      <c r="B1" s="210" t="s">
        <v>5</v>
      </c>
      <c r="C1" s="211"/>
      <c r="D1" s="211"/>
      <c r="E1" s="211"/>
      <c r="F1" s="212"/>
      <c r="G1" s="1" t="s">
        <v>1</v>
      </c>
      <c r="H1" s="2" t="s">
        <v>2</v>
      </c>
      <c r="I1" s="1" t="s">
        <v>3</v>
      </c>
      <c r="J1" s="3">
        <v>44449</v>
      </c>
      <c r="K1" s="1" t="s">
        <v>0</v>
      </c>
      <c r="L1" s="210" t="s">
        <v>5</v>
      </c>
      <c r="M1" s="211"/>
      <c r="N1" s="211"/>
      <c r="O1" s="211"/>
      <c r="P1" s="212"/>
      <c r="Q1" s="1" t="s">
        <v>1</v>
      </c>
      <c r="R1" s="2" t="s">
        <v>4</v>
      </c>
      <c r="S1" s="1" t="s">
        <v>3</v>
      </c>
      <c r="T1" s="3">
        <f>J1</f>
        <v>44449</v>
      </c>
    </row>
    <row r="2" spans="1:20" s="1" customFormat="1" ht="21.95" customHeight="1" thickBot="1" x14ac:dyDescent="0.35"/>
    <row r="3" spans="1:20" s="7" customFormat="1" ht="21.95" customHeight="1" thickBot="1" x14ac:dyDescent="0.3">
      <c r="A3" s="132" t="s">
        <v>6</v>
      </c>
      <c r="B3" s="133" t="s">
        <v>7</v>
      </c>
      <c r="C3" s="133" t="s">
        <v>8</v>
      </c>
      <c r="D3" s="133" t="s">
        <v>9</v>
      </c>
      <c r="E3" s="133" t="s">
        <v>10</v>
      </c>
      <c r="F3" s="133" t="s">
        <v>11</v>
      </c>
      <c r="G3" s="133" t="s">
        <v>12</v>
      </c>
      <c r="H3" s="133" t="s">
        <v>13</v>
      </c>
      <c r="I3" s="133" t="s">
        <v>14</v>
      </c>
      <c r="J3" s="134" t="s">
        <v>15</v>
      </c>
      <c r="K3" s="132" t="s">
        <v>6</v>
      </c>
      <c r="L3" s="133" t="s">
        <v>7</v>
      </c>
      <c r="M3" s="133" t="s">
        <v>8</v>
      </c>
      <c r="N3" s="133" t="s">
        <v>9</v>
      </c>
      <c r="O3" s="133" t="s">
        <v>10</v>
      </c>
      <c r="P3" s="133" t="s">
        <v>11</v>
      </c>
      <c r="Q3" s="133" t="s">
        <v>12</v>
      </c>
      <c r="R3" s="133" t="s">
        <v>13</v>
      </c>
      <c r="S3" s="133" t="s">
        <v>14</v>
      </c>
      <c r="T3" s="134" t="s">
        <v>15</v>
      </c>
    </row>
    <row r="4" spans="1:20" s="7" customFormat="1" ht="42.75" customHeight="1" x14ac:dyDescent="0.25">
      <c r="A4" s="135" t="s">
        <v>16</v>
      </c>
      <c r="B4" s="136" t="s">
        <v>17</v>
      </c>
      <c r="C4" s="137">
        <v>31</v>
      </c>
      <c r="D4" s="12" t="s">
        <v>83</v>
      </c>
      <c r="E4" s="13" t="s">
        <v>19</v>
      </c>
      <c r="F4" s="14">
        <f>75-7.93</f>
        <v>67.069999999999993</v>
      </c>
      <c r="G4" s="192">
        <v>8.14</v>
      </c>
      <c r="H4" s="192">
        <v>9.68</v>
      </c>
      <c r="I4" s="15">
        <v>38.39</v>
      </c>
      <c r="J4" s="16">
        <v>273</v>
      </c>
      <c r="K4" s="135" t="s">
        <v>16</v>
      </c>
      <c r="L4" s="136" t="s">
        <v>17</v>
      </c>
      <c r="M4" s="137">
        <v>73</v>
      </c>
      <c r="N4" s="12" t="s">
        <v>84</v>
      </c>
      <c r="O4" s="13" t="s">
        <v>21</v>
      </c>
      <c r="P4" s="14">
        <f>75/20*22+6.7</f>
        <v>89.2</v>
      </c>
      <c r="Q4" s="15">
        <f>8.14/20*22</f>
        <v>8.9540000000000006</v>
      </c>
      <c r="R4" s="15">
        <f>9.68/20*22</f>
        <v>10.648</v>
      </c>
      <c r="S4" s="15">
        <f>38.39/20*22</f>
        <v>42.228999999999999</v>
      </c>
      <c r="T4" s="16">
        <f>273/20*22</f>
        <v>300.3</v>
      </c>
    </row>
    <row r="5" spans="1:20" s="1" customFormat="1" ht="21.95" customHeight="1" x14ac:dyDescent="0.3">
      <c r="A5" s="8"/>
      <c r="B5" s="2" t="s">
        <v>22</v>
      </c>
      <c r="C5" s="17">
        <f>C4</f>
        <v>31</v>
      </c>
      <c r="D5" s="18" t="s">
        <v>23</v>
      </c>
      <c r="E5" s="19" t="s">
        <v>19</v>
      </c>
      <c r="F5" s="20">
        <v>8</v>
      </c>
      <c r="G5" s="23">
        <v>0.06</v>
      </c>
      <c r="H5" s="23">
        <v>0.02</v>
      </c>
      <c r="I5" s="21">
        <v>9.99</v>
      </c>
      <c r="J5" s="22">
        <v>40</v>
      </c>
      <c r="K5" s="8"/>
      <c r="L5" s="2" t="s">
        <v>22</v>
      </c>
      <c r="M5" s="17">
        <f>M4</f>
        <v>73</v>
      </c>
      <c r="N5" s="18" t="s">
        <v>23</v>
      </c>
      <c r="O5" s="19" t="s">
        <v>19</v>
      </c>
      <c r="P5" s="20">
        <v>8</v>
      </c>
      <c r="Q5" s="23">
        <v>0.06</v>
      </c>
      <c r="R5" s="23">
        <v>0.02</v>
      </c>
      <c r="S5" s="21">
        <v>9.99</v>
      </c>
      <c r="T5" s="22">
        <v>40</v>
      </c>
    </row>
    <row r="6" spans="1:20" s="1" customFormat="1" ht="21.95" customHeight="1" x14ac:dyDescent="0.3">
      <c r="A6" s="8"/>
      <c r="B6" s="2" t="s">
        <v>24</v>
      </c>
      <c r="C6" s="17">
        <f t="shared" ref="C6" si="0">C5</f>
        <v>31</v>
      </c>
      <c r="D6" s="18" t="s">
        <v>25</v>
      </c>
      <c r="E6" s="19" t="s">
        <v>26</v>
      </c>
      <c r="F6" s="20">
        <v>9.1999999999999993</v>
      </c>
      <c r="G6" s="23">
        <v>2.29</v>
      </c>
      <c r="H6" s="23">
        <v>0.9</v>
      </c>
      <c r="I6" s="23">
        <v>15</v>
      </c>
      <c r="J6" s="24">
        <v>77.7</v>
      </c>
      <c r="K6" s="8"/>
      <c r="L6" s="2" t="s">
        <v>24</v>
      </c>
      <c r="M6" s="17">
        <f t="shared" ref="M6" si="1">M5</f>
        <v>73</v>
      </c>
      <c r="N6" s="18" t="s">
        <v>25</v>
      </c>
      <c r="O6" s="19" t="s">
        <v>26</v>
      </c>
      <c r="P6" s="20">
        <v>9.1999999999999993</v>
      </c>
      <c r="Q6" s="23">
        <v>2.29</v>
      </c>
      <c r="R6" s="23">
        <v>0.9</v>
      </c>
      <c r="S6" s="23">
        <v>15</v>
      </c>
      <c r="T6" s="24">
        <v>77.7</v>
      </c>
    </row>
    <row r="7" spans="1:20" s="1" customFormat="1" ht="21.95" customHeight="1" x14ac:dyDescent="0.3">
      <c r="A7" s="8"/>
      <c r="B7" s="25" t="s">
        <v>27</v>
      </c>
      <c r="C7" s="17">
        <f>C6</f>
        <v>31</v>
      </c>
      <c r="D7" s="18" t="s">
        <v>28</v>
      </c>
      <c r="E7" s="19" t="s">
        <v>29</v>
      </c>
      <c r="F7" s="20">
        <v>10</v>
      </c>
      <c r="G7" s="23">
        <v>0.2</v>
      </c>
      <c r="H7" s="23">
        <v>0.4</v>
      </c>
      <c r="I7" s="23">
        <v>9.5</v>
      </c>
      <c r="J7" s="24">
        <v>44</v>
      </c>
      <c r="K7" s="8"/>
      <c r="L7" s="25" t="s">
        <v>27</v>
      </c>
      <c r="M7" s="17">
        <f>M6</f>
        <v>73</v>
      </c>
      <c r="N7" s="18" t="s">
        <v>28</v>
      </c>
      <c r="O7" s="19" t="s">
        <v>29</v>
      </c>
      <c r="P7" s="20">
        <v>10</v>
      </c>
      <c r="Q7" s="23">
        <v>0.2</v>
      </c>
      <c r="R7" s="23">
        <v>0.4</v>
      </c>
      <c r="S7" s="23">
        <v>9.5</v>
      </c>
      <c r="T7" s="24">
        <v>44</v>
      </c>
    </row>
    <row r="8" spans="1:20" s="1" customFormat="1" ht="21.95" customHeight="1" thickBot="1" x14ac:dyDescent="0.35">
      <c r="A8" s="26"/>
      <c r="B8" s="27" t="s">
        <v>30</v>
      </c>
      <c r="C8" s="28">
        <f>C7</f>
        <v>31</v>
      </c>
      <c r="D8" s="29" t="s">
        <v>31</v>
      </c>
      <c r="E8" s="30" t="s">
        <v>29</v>
      </c>
      <c r="F8" s="31">
        <v>13</v>
      </c>
      <c r="G8" s="32">
        <v>2.63</v>
      </c>
      <c r="H8" s="32">
        <v>2.66</v>
      </c>
      <c r="I8" s="32">
        <v>0</v>
      </c>
      <c r="J8" s="33">
        <v>3.5</v>
      </c>
      <c r="K8" s="26"/>
      <c r="L8" s="27" t="s">
        <v>30</v>
      </c>
      <c r="M8" s="28">
        <f>M7</f>
        <v>73</v>
      </c>
      <c r="N8" s="29" t="s">
        <v>31</v>
      </c>
      <c r="O8" s="30" t="s">
        <v>29</v>
      </c>
      <c r="P8" s="31">
        <v>13</v>
      </c>
      <c r="Q8" s="32">
        <v>2.63</v>
      </c>
      <c r="R8" s="32">
        <v>2.66</v>
      </c>
      <c r="S8" s="32">
        <v>0</v>
      </c>
      <c r="T8" s="33">
        <v>3.5</v>
      </c>
    </row>
    <row r="9" spans="1:20" s="38" customFormat="1" ht="21.95" customHeight="1" thickBot="1" x14ac:dyDescent="0.3">
      <c r="A9" s="216" t="s">
        <v>32</v>
      </c>
      <c r="B9" s="217"/>
      <c r="C9" s="218"/>
      <c r="D9" s="139"/>
      <c r="E9" s="140"/>
      <c r="F9" s="141">
        <f>SUM(F4:F8)</f>
        <v>107.27</v>
      </c>
      <c r="G9" s="142">
        <f>SUM(G4:G8)</f>
        <v>13.32</v>
      </c>
      <c r="H9" s="142">
        <f t="shared" ref="H9:J9" si="2">SUM(H4:H8)</f>
        <v>13.66</v>
      </c>
      <c r="I9" s="142">
        <f t="shared" si="2"/>
        <v>72.88</v>
      </c>
      <c r="J9" s="143">
        <f t="shared" si="2"/>
        <v>438.2</v>
      </c>
      <c r="K9" s="216" t="s">
        <v>32</v>
      </c>
      <c r="L9" s="217"/>
      <c r="M9" s="218"/>
      <c r="N9" s="139"/>
      <c r="O9" s="140"/>
      <c r="P9" s="141">
        <f>SUM(P4:P8)</f>
        <v>129.4</v>
      </c>
      <c r="Q9" s="142">
        <f>SUM(Q4:Q8)</f>
        <v>14.134</v>
      </c>
      <c r="R9" s="142">
        <f t="shared" ref="R9:T9" si="3">SUM(R4:R8)</f>
        <v>14.628</v>
      </c>
      <c r="S9" s="142">
        <f t="shared" si="3"/>
        <v>76.718999999999994</v>
      </c>
      <c r="T9" s="143">
        <f t="shared" si="3"/>
        <v>465.5</v>
      </c>
    </row>
    <row r="10" spans="1:20" s="7" customFormat="1" ht="44.25" customHeight="1" x14ac:dyDescent="0.25">
      <c r="A10" s="158" t="s">
        <v>33</v>
      </c>
      <c r="B10" s="136" t="s">
        <v>34</v>
      </c>
      <c r="C10" s="159">
        <v>31</v>
      </c>
      <c r="D10" s="12" t="s">
        <v>127</v>
      </c>
      <c r="E10" s="13" t="s">
        <v>60</v>
      </c>
      <c r="F10" s="14">
        <v>15</v>
      </c>
      <c r="G10" s="15">
        <v>0.9</v>
      </c>
      <c r="H10" s="15">
        <v>4.5999999999999996</v>
      </c>
      <c r="I10" s="15">
        <v>3.6</v>
      </c>
      <c r="J10" s="16">
        <v>60</v>
      </c>
      <c r="K10" s="193" t="s">
        <v>33</v>
      </c>
      <c r="L10" s="136" t="s">
        <v>34</v>
      </c>
      <c r="M10" s="159">
        <v>78</v>
      </c>
      <c r="N10" s="12" t="s">
        <v>127</v>
      </c>
      <c r="O10" s="13" t="s">
        <v>60</v>
      </c>
      <c r="P10" s="14">
        <v>15</v>
      </c>
      <c r="Q10" s="15">
        <v>0.9</v>
      </c>
      <c r="R10" s="15">
        <v>4.5999999999999996</v>
      </c>
      <c r="S10" s="15">
        <v>3.6</v>
      </c>
      <c r="T10" s="16">
        <v>60</v>
      </c>
    </row>
    <row r="11" spans="1:20" s="7" customFormat="1" ht="44.25" customHeight="1" x14ac:dyDescent="0.25">
      <c r="A11" s="161"/>
      <c r="B11" s="162" t="s">
        <v>37</v>
      </c>
      <c r="C11" s="40">
        <f t="shared" ref="C11:C16" si="4">C10</f>
        <v>31</v>
      </c>
      <c r="D11" s="18" t="s">
        <v>128</v>
      </c>
      <c r="E11" s="19" t="s">
        <v>39</v>
      </c>
      <c r="F11" s="20">
        <v>70</v>
      </c>
      <c r="G11" s="23">
        <v>5.25</v>
      </c>
      <c r="H11" s="23">
        <v>7</v>
      </c>
      <c r="I11" s="23">
        <v>5.25</v>
      </c>
      <c r="J11" s="24">
        <v>106.75</v>
      </c>
      <c r="K11" s="194"/>
      <c r="L11" s="162" t="s">
        <v>37</v>
      </c>
      <c r="M11" s="40">
        <f t="shared" ref="M11:M16" si="5">M10</f>
        <v>78</v>
      </c>
      <c r="N11" s="18" t="s">
        <v>128</v>
      </c>
      <c r="O11" s="19" t="s">
        <v>40</v>
      </c>
      <c r="P11" s="20">
        <f>70+8.6-0.74</f>
        <v>77.86</v>
      </c>
      <c r="Q11" s="23">
        <v>5.25</v>
      </c>
      <c r="R11" s="23">
        <v>7</v>
      </c>
      <c r="S11" s="23">
        <v>5.25</v>
      </c>
      <c r="T11" s="24">
        <v>106.75</v>
      </c>
    </row>
    <row r="12" spans="1:20" s="1" customFormat="1" ht="21.95" customHeight="1" x14ac:dyDescent="0.3">
      <c r="A12" s="165"/>
      <c r="B12" s="2" t="s">
        <v>41</v>
      </c>
      <c r="C12" s="166">
        <f t="shared" si="4"/>
        <v>31</v>
      </c>
      <c r="D12" s="18" t="s">
        <v>129</v>
      </c>
      <c r="E12" s="19" t="s">
        <v>130</v>
      </c>
      <c r="F12" s="20">
        <f>69.6-12.73</f>
        <v>56.86999999999999</v>
      </c>
      <c r="G12" s="23">
        <v>15.3</v>
      </c>
      <c r="H12" s="23">
        <v>9.1999999999999993</v>
      </c>
      <c r="I12" s="23">
        <v>8.6</v>
      </c>
      <c r="J12" s="24">
        <v>159</v>
      </c>
      <c r="K12" s="195"/>
      <c r="L12" s="2" t="s">
        <v>41</v>
      </c>
      <c r="M12" s="166">
        <f t="shared" si="5"/>
        <v>78</v>
      </c>
      <c r="N12" s="18" t="s">
        <v>129</v>
      </c>
      <c r="O12" s="19" t="s">
        <v>130</v>
      </c>
      <c r="P12" s="20">
        <f>69.6-12.73</f>
        <v>56.86999999999999</v>
      </c>
      <c r="Q12" s="23">
        <v>15.3</v>
      </c>
      <c r="R12" s="23">
        <v>9.1999999999999993</v>
      </c>
      <c r="S12" s="23">
        <v>8.6</v>
      </c>
      <c r="T12" s="24">
        <v>159</v>
      </c>
    </row>
    <row r="13" spans="1:20" s="1" customFormat="1" ht="21.95" customHeight="1" x14ac:dyDescent="0.3">
      <c r="A13" s="165"/>
      <c r="B13" s="2" t="s">
        <v>44</v>
      </c>
      <c r="C13" s="17">
        <f t="shared" si="4"/>
        <v>31</v>
      </c>
      <c r="D13" s="42" t="s">
        <v>92</v>
      </c>
      <c r="E13" s="19" t="s">
        <v>46</v>
      </c>
      <c r="F13" s="20">
        <v>20</v>
      </c>
      <c r="G13" s="23">
        <v>5.4</v>
      </c>
      <c r="H13" s="23">
        <v>6.54</v>
      </c>
      <c r="I13" s="23">
        <v>64.3</v>
      </c>
      <c r="J13" s="24">
        <v>216.27</v>
      </c>
      <c r="K13" s="165"/>
      <c r="L13" s="2" t="s">
        <v>44</v>
      </c>
      <c r="M13" s="17">
        <f t="shared" si="5"/>
        <v>78</v>
      </c>
      <c r="N13" s="42" t="s">
        <v>92</v>
      </c>
      <c r="O13" s="19" t="s">
        <v>47</v>
      </c>
      <c r="P13" s="20">
        <f>20/15*18</f>
        <v>24</v>
      </c>
      <c r="Q13" s="23">
        <f>5.4/15*18</f>
        <v>6.48</v>
      </c>
      <c r="R13" s="23">
        <f>6.54/15*18</f>
        <v>7.8479999999999999</v>
      </c>
      <c r="S13" s="23">
        <f>64.3/15*18</f>
        <v>77.16</v>
      </c>
      <c r="T13" s="24">
        <f>216.27/15*18</f>
        <v>259.524</v>
      </c>
    </row>
    <row r="14" spans="1:20" s="1" customFormat="1" ht="21.95" customHeight="1" x14ac:dyDescent="0.3">
      <c r="A14" s="165"/>
      <c r="B14" s="2" t="s">
        <v>22</v>
      </c>
      <c r="C14" s="166">
        <f t="shared" si="4"/>
        <v>31</v>
      </c>
      <c r="D14" s="42" t="s">
        <v>48</v>
      </c>
      <c r="E14" s="19" t="s">
        <v>19</v>
      </c>
      <c r="F14" s="20">
        <v>24</v>
      </c>
      <c r="G14" s="23">
        <v>0.55000000000000004</v>
      </c>
      <c r="H14" s="23">
        <v>0.08</v>
      </c>
      <c r="I14" s="23">
        <v>20.3</v>
      </c>
      <c r="J14" s="24">
        <v>85.23</v>
      </c>
      <c r="K14" s="195"/>
      <c r="L14" s="2" t="s">
        <v>22</v>
      </c>
      <c r="M14" s="166">
        <f t="shared" si="5"/>
        <v>78</v>
      </c>
      <c r="N14" s="42" t="s">
        <v>48</v>
      </c>
      <c r="O14" s="19" t="s">
        <v>19</v>
      </c>
      <c r="P14" s="20">
        <v>24</v>
      </c>
      <c r="Q14" s="23">
        <v>0.55000000000000004</v>
      </c>
      <c r="R14" s="23">
        <v>0.08</v>
      </c>
      <c r="S14" s="23">
        <v>20.3</v>
      </c>
      <c r="T14" s="24">
        <v>85.23</v>
      </c>
    </row>
    <row r="15" spans="1:20" s="1" customFormat="1" ht="21.95" customHeight="1" x14ac:dyDescent="0.3">
      <c r="A15" s="165"/>
      <c r="B15" s="2" t="s">
        <v>49</v>
      </c>
      <c r="C15" s="166">
        <f t="shared" si="4"/>
        <v>31</v>
      </c>
      <c r="D15" s="18" t="s">
        <v>50</v>
      </c>
      <c r="E15" s="19" t="s">
        <v>51</v>
      </c>
      <c r="F15" s="20">
        <v>6</v>
      </c>
      <c r="G15" s="21">
        <f>4/2</f>
        <v>2</v>
      </c>
      <c r="H15" s="21">
        <f>0.75/2</f>
        <v>0.375</v>
      </c>
      <c r="I15" s="21">
        <f>20.05/2</f>
        <v>10.025</v>
      </c>
      <c r="J15" s="22">
        <f>104/2</f>
        <v>52</v>
      </c>
      <c r="K15" s="195"/>
      <c r="L15" s="2" t="s">
        <v>49</v>
      </c>
      <c r="M15" s="166">
        <f t="shared" si="5"/>
        <v>78</v>
      </c>
      <c r="N15" s="18" t="s">
        <v>50</v>
      </c>
      <c r="O15" s="19" t="s">
        <v>51</v>
      </c>
      <c r="P15" s="20">
        <v>6</v>
      </c>
      <c r="Q15" s="21">
        <f>4/2</f>
        <v>2</v>
      </c>
      <c r="R15" s="21">
        <f>0.75/2</f>
        <v>0.375</v>
      </c>
      <c r="S15" s="21">
        <f>20.05/2</f>
        <v>10.025</v>
      </c>
      <c r="T15" s="22">
        <f>104/2</f>
        <v>52</v>
      </c>
    </row>
    <row r="16" spans="1:20" s="1" customFormat="1" ht="21.95" customHeight="1" thickBot="1" x14ac:dyDescent="0.35">
      <c r="A16" s="168"/>
      <c r="B16" s="43" t="s">
        <v>52</v>
      </c>
      <c r="C16" s="169">
        <f t="shared" si="4"/>
        <v>31</v>
      </c>
      <c r="D16" s="29" t="s">
        <v>53</v>
      </c>
      <c r="E16" s="30" t="s">
        <v>51</v>
      </c>
      <c r="F16" s="44">
        <v>6</v>
      </c>
      <c r="G16" s="32">
        <f>2.72/2</f>
        <v>1.36</v>
      </c>
      <c r="H16" s="32">
        <f>0.52/2</f>
        <v>0.26</v>
      </c>
      <c r="I16" s="32">
        <f>15.92/2</f>
        <v>7.96</v>
      </c>
      <c r="J16" s="33">
        <f>80.4/2</f>
        <v>40.200000000000003</v>
      </c>
      <c r="K16" s="196"/>
      <c r="L16" s="43" t="s">
        <v>52</v>
      </c>
      <c r="M16" s="169">
        <f t="shared" si="5"/>
        <v>78</v>
      </c>
      <c r="N16" s="29" t="s">
        <v>53</v>
      </c>
      <c r="O16" s="30" t="s">
        <v>51</v>
      </c>
      <c r="P16" s="44">
        <v>6</v>
      </c>
      <c r="Q16" s="32">
        <f>2.72/2</f>
        <v>1.36</v>
      </c>
      <c r="R16" s="32">
        <f>0.52/2</f>
        <v>0.26</v>
      </c>
      <c r="S16" s="32">
        <f>15.92/2</f>
        <v>7.96</v>
      </c>
      <c r="T16" s="33">
        <f>80.4/2</f>
        <v>40.200000000000003</v>
      </c>
    </row>
    <row r="17" spans="1:20" s="38" customFormat="1" ht="21.95" customHeight="1" thickBot="1" x14ac:dyDescent="0.3">
      <c r="A17" s="213" t="s">
        <v>32</v>
      </c>
      <c r="B17" s="214"/>
      <c r="C17" s="215"/>
      <c r="D17" s="144"/>
      <c r="E17" s="145"/>
      <c r="F17" s="146">
        <f>SUM(F10:F16)</f>
        <v>197.87</v>
      </c>
      <c r="G17" s="147">
        <f>SUM(G10:G16)</f>
        <v>30.76</v>
      </c>
      <c r="H17" s="147">
        <f t="shared" ref="H17:J17" si="6">SUM(H10:H16)</f>
        <v>28.054999999999996</v>
      </c>
      <c r="I17" s="147">
        <f t="shared" si="6"/>
        <v>120.035</v>
      </c>
      <c r="J17" s="148">
        <f t="shared" si="6"/>
        <v>719.45</v>
      </c>
      <c r="K17" s="213" t="s">
        <v>32</v>
      </c>
      <c r="L17" s="214"/>
      <c r="M17" s="215"/>
      <c r="N17" s="144"/>
      <c r="O17" s="145"/>
      <c r="P17" s="146">
        <f>SUM(P10:P16)</f>
        <v>209.73</v>
      </c>
      <c r="Q17" s="147">
        <f t="shared" ref="Q17:T17" si="7">SUM(Q10:Q16)</f>
        <v>31.840000000000003</v>
      </c>
      <c r="R17" s="147">
        <f t="shared" si="7"/>
        <v>29.362999999999996</v>
      </c>
      <c r="S17" s="147">
        <f t="shared" si="7"/>
        <v>132.89500000000001</v>
      </c>
      <c r="T17" s="148">
        <f t="shared" si="7"/>
        <v>762.70400000000006</v>
      </c>
    </row>
    <row r="18" spans="1:20" s="1" customFormat="1" ht="21.95" customHeight="1" x14ac:dyDescent="0.3">
      <c r="A18" s="9" t="s">
        <v>54</v>
      </c>
      <c r="B18" s="187" t="s">
        <v>22</v>
      </c>
      <c r="C18" s="11">
        <v>29</v>
      </c>
      <c r="D18" s="45" t="s">
        <v>55</v>
      </c>
      <c r="E18" s="46" t="s">
        <v>19</v>
      </c>
      <c r="F18" s="14">
        <v>53</v>
      </c>
      <c r="G18" s="15">
        <v>1.4</v>
      </c>
      <c r="H18" s="15">
        <v>0.4</v>
      </c>
      <c r="I18" s="15">
        <v>22.8</v>
      </c>
      <c r="J18" s="16">
        <v>102</v>
      </c>
      <c r="K18" s="9" t="s">
        <v>54</v>
      </c>
      <c r="L18" s="187" t="s">
        <v>22</v>
      </c>
      <c r="M18" s="11">
        <v>5</v>
      </c>
      <c r="N18" s="45" t="s">
        <v>56</v>
      </c>
      <c r="O18" s="46" t="s">
        <v>57</v>
      </c>
      <c r="P18" s="14">
        <v>62</v>
      </c>
      <c r="Q18" s="15">
        <v>1</v>
      </c>
      <c r="R18" s="15">
        <v>0</v>
      </c>
      <c r="S18" s="15">
        <v>25.4</v>
      </c>
      <c r="T18" s="16">
        <v>110</v>
      </c>
    </row>
    <row r="19" spans="1:20" s="1" customFormat="1" ht="21.95" customHeight="1" thickBot="1" x14ac:dyDescent="0.35">
      <c r="A19" s="26"/>
      <c r="B19" s="43" t="s">
        <v>58</v>
      </c>
      <c r="C19" s="28">
        <f>C18</f>
        <v>29</v>
      </c>
      <c r="D19" s="47" t="s">
        <v>131</v>
      </c>
      <c r="E19" s="48" t="s">
        <v>57</v>
      </c>
      <c r="F19" s="44">
        <v>36.6</v>
      </c>
      <c r="G19" s="49">
        <f>6.5/2</f>
        <v>3.25</v>
      </c>
      <c r="H19" s="49">
        <f>8.4/2</f>
        <v>4.2</v>
      </c>
      <c r="I19" s="49">
        <f>56.6/2</f>
        <v>28.3</v>
      </c>
      <c r="J19" s="50">
        <f>318/2</f>
        <v>159</v>
      </c>
      <c r="K19" s="26"/>
      <c r="L19" s="43" t="s">
        <v>58</v>
      </c>
      <c r="M19" s="28">
        <f>M18</f>
        <v>5</v>
      </c>
      <c r="N19" s="47" t="s">
        <v>131</v>
      </c>
      <c r="O19" s="48" t="s">
        <v>57</v>
      </c>
      <c r="P19" s="44">
        <v>36.6</v>
      </c>
      <c r="Q19" s="49">
        <f>6.5/2</f>
        <v>3.25</v>
      </c>
      <c r="R19" s="49">
        <f>8.4/2</f>
        <v>4.2</v>
      </c>
      <c r="S19" s="49">
        <f>56.6/2</f>
        <v>28.3</v>
      </c>
      <c r="T19" s="50">
        <f>318/2</f>
        <v>159</v>
      </c>
    </row>
    <row r="20" spans="1:20" s="38" customFormat="1" ht="21.95" customHeight="1" thickBot="1" x14ac:dyDescent="0.3">
      <c r="A20" s="207" t="s">
        <v>32</v>
      </c>
      <c r="B20" s="208"/>
      <c r="C20" s="209"/>
      <c r="D20" s="51"/>
      <c r="E20" s="52"/>
      <c r="F20" s="149">
        <f>SUM(F18:F19)</f>
        <v>89.6</v>
      </c>
      <c r="G20" s="53">
        <f>SUM(G18:G19)</f>
        <v>4.6500000000000004</v>
      </c>
      <c r="H20" s="53">
        <f>SUM(H18:H19)</f>
        <v>4.6000000000000005</v>
      </c>
      <c r="I20" s="53">
        <f>SUM(I18:I19)</f>
        <v>51.1</v>
      </c>
      <c r="J20" s="54">
        <f>SUM(J18:J19)</f>
        <v>261</v>
      </c>
      <c r="K20" s="207" t="s">
        <v>32</v>
      </c>
      <c r="L20" s="208"/>
      <c r="M20" s="209"/>
      <c r="N20" s="51"/>
      <c r="O20" s="52"/>
      <c r="P20" s="149">
        <f>SUM(P18:P19)</f>
        <v>98.6</v>
      </c>
      <c r="Q20" s="188">
        <f>SUM(Q18:Q19)</f>
        <v>4.25</v>
      </c>
      <c r="R20" s="188">
        <f>SUM(R18:R19)</f>
        <v>4.2</v>
      </c>
      <c r="S20" s="188">
        <f>SUM(S18:S19)</f>
        <v>53.7</v>
      </c>
      <c r="T20" s="189">
        <f>SUM(T18:T19)</f>
        <v>269</v>
      </c>
    </row>
    <row r="21" spans="1:20" s="55" customFormat="1" x14ac:dyDescent="0.25"/>
    <row r="22" spans="1:20" s="55" customFormat="1" ht="18.75" customHeight="1" x14ac:dyDescent="0.25">
      <c r="D22" s="56" t="s">
        <v>61</v>
      </c>
      <c r="E22" s="57"/>
      <c r="F22" s="58" t="s">
        <v>62</v>
      </c>
      <c r="G22" s="59"/>
      <c r="N22" s="56" t="s">
        <v>61</v>
      </c>
      <c r="O22" s="57"/>
      <c r="P22" s="58" t="s">
        <v>62</v>
      </c>
      <c r="Q22" s="59"/>
      <c r="R22" s="190"/>
    </row>
    <row r="23" spans="1:20" s="55" customFormat="1" ht="18.75" customHeight="1" x14ac:dyDescent="0.25">
      <c r="D23" s="56"/>
      <c r="E23" s="57"/>
      <c r="F23" s="58"/>
      <c r="G23" s="59"/>
      <c r="N23" s="56"/>
      <c r="O23" s="57"/>
      <c r="P23" s="58"/>
      <c r="Q23" s="59"/>
    </row>
    <row r="24" spans="1:20" s="55" customFormat="1" ht="18.75" x14ac:dyDescent="0.25">
      <c r="D24" s="60" t="s">
        <v>63</v>
      </c>
      <c r="E24" s="61"/>
      <c r="F24" s="199" t="s">
        <v>64</v>
      </c>
      <c r="G24" s="59"/>
      <c r="N24" s="60" t="s">
        <v>63</v>
      </c>
      <c r="O24" s="61"/>
      <c r="P24" s="199" t="s">
        <v>64</v>
      </c>
      <c r="Q24" s="59"/>
    </row>
  </sheetData>
  <mergeCells count="8">
    <mergeCell ref="A17:C17"/>
    <mergeCell ref="K17:M17"/>
    <mergeCell ref="A20:C20"/>
    <mergeCell ref="K20:M20"/>
    <mergeCell ref="B1:F1"/>
    <mergeCell ref="L1:P1"/>
    <mergeCell ref="A9:C9"/>
    <mergeCell ref="K9:M9"/>
  </mergeCells>
  <pageMargins left="0.7" right="0.7" top="0.75" bottom="0.75" header="0.3" footer="0.3"/>
  <pageSetup paperSize="9" scale="81" orientation="landscape" r:id="rId1"/>
  <colBreaks count="1" manualBreakCount="1">
    <brk id="10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02.09</vt:lpstr>
      <vt:lpstr>03.09</vt:lpstr>
      <vt:lpstr>06.09</vt:lpstr>
      <vt:lpstr>07.09</vt:lpstr>
      <vt:lpstr>08.09</vt:lpstr>
      <vt:lpstr>09.09</vt:lpstr>
      <vt:lpstr>10.09</vt:lpstr>
      <vt:lpstr>'02.09'!Область_печати</vt:lpstr>
      <vt:lpstr>'03.09'!Область_печати</vt:lpstr>
      <vt:lpstr>'06.09'!Область_печати</vt:lpstr>
      <vt:lpstr>'07.09'!Область_печати</vt:lpstr>
      <vt:lpstr>'08.09'!Область_печати</vt:lpstr>
      <vt:lpstr>'09.09'!Область_печати</vt:lpstr>
      <vt:lpstr>'10.09'!Область_печати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2021-09-09T08:21:01Z</dcterms:modified>
</cp:coreProperties>
</file>